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srvfile\Souteze\VS\7935B - Litomyšl – Vodní Valy, 3. Etapa regenerace nábřeží říčky Loučná\2. ZD\Soupis stavebních prací, dodávek a služeb\"/>
    </mc:Choice>
  </mc:AlternateContent>
  <xr:revisionPtr revIDLastSave="0" documentId="13_ncr:1_{A9CA9074-C662-4518-A586-76009A498497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J99" i="3" l="1"/>
  <c r="BF99" i="3"/>
  <c r="BD99" i="3"/>
  <c r="AP99" i="3"/>
  <c r="BI99" i="3" s="1"/>
  <c r="AO99" i="3"/>
  <c r="AW99" i="3" s="1"/>
  <c r="AK99" i="3"/>
  <c r="AJ99" i="3"/>
  <c r="AH99" i="3"/>
  <c r="AG99" i="3"/>
  <c r="AF99" i="3"/>
  <c r="AE99" i="3"/>
  <c r="AD99" i="3"/>
  <c r="AC99" i="3"/>
  <c r="AB99" i="3"/>
  <c r="Z99" i="3"/>
  <c r="I99" i="3"/>
  <c r="AL99" i="3" s="1"/>
  <c r="BJ98" i="3"/>
  <c r="BF98" i="3"/>
  <c r="BD98" i="3"/>
  <c r="AX98" i="3"/>
  <c r="AP98" i="3"/>
  <c r="BI98" i="3" s="1"/>
  <c r="AO98" i="3"/>
  <c r="BH98" i="3" s="1"/>
  <c r="AK98" i="3"/>
  <c r="AJ98" i="3"/>
  <c r="AH98" i="3"/>
  <c r="AG98" i="3"/>
  <c r="AF98" i="3"/>
  <c r="AE98" i="3"/>
  <c r="AD98" i="3"/>
  <c r="AC98" i="3"/>
  <c r="AB98" i="3"/>
  <c r="Z98" i="3"/>
  <c r="I98" i="3"/>
  <c r="AL98" i="3" s="1"/>
  <c r="AT97" i="3"/>
  <c r="BJ95" i="3"/>
  <c r="BF95" i="3"/>
  <c r="BD95" i="3"/>
  <c r="AP95" i="3"/>
  <c r="BI95" i="3" s="1"/>
  <c r="AC95" i="3" s="1"/>
  <c r="AO95" i="3"/>
  <c r="BH95" i="3" s="1"/>
  <c r="AB95" i="3" s="1"/>
  <c r="AL95" i="3"/>
  <c r="AK95" i="3"/>
  <c r="AJ95" i="3"/>
  <c r="AH95" i="3"/>
  <c r="AG95" i="3"/>
  <c r="AF95" i="3"/>
  <c r="AE95" i="3"/>
  <c r="AD95" i="3"/>
  <c r="Z95" i="3"/>
  <c r="I95" i="3"/>
  <c r="AU94" i="3"/>
  <c r="AT94" i="3"/>
  <c r="AS94" i="3"/>
  <c r="I94" i="3"/>
  <c r="BJ91" i="3"/>
  <c r="BF91" i="3"/>
  <c r="BD91" i="3"/>
  <c r="AP91" i="3"/>
  <c r="AX91" i="3" s="1"/>
  <c r="AO91" i="3"/>
  <c r="BH91" i="3" s="1"/>
  <c r="AB91" i="3" s="1"/>
  <c r="AK91" i="3"/>
  <c r="AJ91" i="3"/>
  <c r="AS90" i="3" s="1"/>
  <c r="AH91" i="3"/>
  <c r="AG91" i="3"/>
  <c r="AF91" i="3"/>
  <c r="AE91" i="3"/>
  <c r="AD91" i="3"/>
  <c r="Z91" i="3"/>
  <c r="I91" i="3"/>
  <c r="AL91" i="3" s="1"/>
  <c r="AU90" i="3" s="1"/>
  <c r="AT90" i="3"/>
  <c r="I90" i="3"/>
  <c r="BJ88" i="3"/>
  <c r="BF88" i="3"/>
  <c r="BD88" i="3"/>
  <c r="AP88" i="3"/>
  <c r="BI88" i="3" s="1"/>
  <c r="AC88" i="3" s="1"/>
  <c r="AO88" i="3"/>
  <c r="AW88" i="3" s="1"/>
  <c r="AK88" i="3"/>
  <c r="AJ88" i="3"/>
  <c r="AH88" i="3"/>
  <c r="AG88" i="3"/>
  <c r="AF88" i="3"/>
  <c r="AE88" i="3"/>
  <c r="AD88" i="3"/>
  <c r="Z88" i="3"/>
  <c r="I88" i="3"/>
  <c r="AL88" i="3" s="1"/>
  <c r="BJ86" i="3"/>
  <c r="BF86" i="3"/>
  <c r="BD86" i="3"/>
  <c r="AX86" i="3"/>
  <c r="AP86" i="3"/>
  <c r="BI86" i="3" s="1"/>
  <c r="AC86" i="3" s="1"/>
  <c r="AO86" i="3"/>
  <c r="BH86" i="3" s="1"/>
  <c r="AB86" i="3" s="1"/>
  <c r="AK86" i="3"/>
  <c r="AJ86" i="3"/>
  <c r="AH86" i="3"/>
  <c r="AG86" i="3"/>
  <c r="AF86" i="3"/>
  <c r="AE86" i="3"/>
  <c r="AD86" i="3"/>
  <c r="Z86" i="3"/>
  <c r="I86" i="3"/>
  <c r="AL86" i="3" s="1"/>
  <c r="BJ84" i="3"/>
  <c r="BF84" i="3"/>
  <c r="BD84" i="3"/>
  <c r="AP84" i="3"/>
  <c r="BI84" i="3" s="1"/>
  <c r="AC84" i="3" s="1"/>
  <c r="AO84" i="3"/>
  <c r="BH84" i="3" s="1"/>
  <c r="AB84" i="3" s="1"/>
  <c r="AL84" i="3"/>
  <c r="AK84" i="3"/>
  <c r="AJ84" i="3"/>
  <c r="AH84" i="3"/>
  <c r="AG84" i="3"/>
  <c r="AF84" i="3"/>
  <c r="AE84" i="3"/>
  <c r="AD84" i="3"/>
  <c r="Z84" i="3"/>
  <c r="I84" i="3"/>
  <c r="BJ82" i="3"/>
  <c r="BF82" i="3"/>
  <c r="BD82" i="3"/>
  <c r="AP82" i="3"/>
  <c r="AX82" i="3" s="1"/>
  <c r="AO82" i="3"/>
  <c r="BH82" i="3" s="1"/>
  <c r="AB82" i="3" s="1"/>
  <c r="AK82" i="3"/>
  <c r="AJ82" i="3"/>
  <c r="AH82" i="3"/>
  <c r="AG82" i="3"/>
  <c r="AF82" i="3"/>
  <c r="AE82" i="3"/>
  <c r="AD82" i="3"/>
  <c r="Z82" i="3"/>
  <c r="I82" i="3"/>
  <c r="AL82" i="3" s="1"/>
  <c r="BJ79" i="3"/>
  <c r="BF79" i="3"/>
  <c r="BD79" i="3"/>
  <c r="AP79" i="3"/>
  <c r="BI79" i="3" s="1"/>
  <c r="AC79" i="3" s="1"/>
  <c r="AO79" i="3"/>
  <c r="AW79" i="3" s="1"/>
  <c r="AK79" i="3"/>
  <c r="AJ79" i="3"/>
  <c r="AH79" i="3"/>
  <c r="AG79" i="3"/>
  <c r="AF79" i="3"/>
  <c r="AE79" i="3"/>
  <c r="AD79" i="3"/>
  <c r="Z79" i="3"/>
  <c r="I79" i="3"/>
  <c r="AL79" i="3" s="1"/>
  <c r="BJ77" i="3"/>
  <c r="BF77" i="3"/>
  <c r="BD77" i="3"/>
  <c r="AP77" i="3"/>
  <c r="BI77" i="3" s="1"/>
  <c r="AC77" i="3" s="1"/>
  <c r="AO77" i="3"/>
  <c r="BH77" i="3" s="1"/>
  <c r="AB77" i="3" s="1"/>
  <c r="AK77" i="3"/>
  <c r="AJ77" i="3"/>
  <c r="AH77" i="3"/>
  <c r="AG77" i="3"/>
  <c r="AF77" i="3"/>
  <c r="AE77" i="3"/>
  <c r="AD77" i="3"/>
  <c r="Z77" i="3"/>
  <c r="I77" i="3"/>
  <c r="AL77" i="3" s="1"/>
  <c r="BJ75" i="3"/>
  <c r="BF75" i="3"/>
  <c r="BD75" i="3"/>
  <c r="AP75" i="3"/>
  <c r="BI75" i="3" s="1"/>
  <c r="AC75" i="3" s="1"/>
  <c r="AO75" i="3"/>
  <c r="BH75" i="3" s="1"/>
  <c r="AB75" i="3" s="1"/>
  <c r="AL75" i="3"/>
  <c r="AK75" i="3"/>
  <c r="AJ75" i="3"/>
  <c r="AH75" i="3"/>
  <c r="AG75" i="3"/>
  <c r="AF75" i="3"/>
  <c r="AE75" i="3"/>
  <c r="AD75" i="3"/>
  <c r="Z75" i="3"/>
  <c r="I75" i="3"/>
  <c r="BJ73" i="3"/>
  <c r="BF73" i="3"/>
  <c r="BD73" i="3"/>
  <c r="AP73" i="3"/>
  <c r="AX73" i="3" s="1"/>
  <c r="AO73" i="3"/>
  <c r="BH73" i="3" s="1"/>
  <c r="AB73" i="3" s="1"/>
  <c r="AL73" i="3"/>
  <c r="AK73" i="3"/>
  <c r="AJ73" i="3"/>
  <c r="AH73" i="3"/>
  <c r="AG73" i="3"/>
  <c r="AF73" i="3"/>
  <c r="AE73" i="3"/>
  <c r="AD73" i="3"/>
  <c r="Z73" i="3"/>
  <c r="I73" i="3"/>
  <c r="BJ71" i="3"/>
  <c r="BF71" i="3"/>
  <c r="BD71" i="3"/>
  <c r="AP71" i="3"/>
  <c r="BI71" i="3" s="1"/>
  <c r="AC71" i="3" s="1"/>
  <c r="AO71" i="3"/>
  <c r="AW71" i="3" s="1"/>
  <c r="AK71" i="3"/>
  <c r="AJ71" i="3"/>
  <c r="AH71" i="3"/>
  <c r="AG71" i="3"/>
  <c r="AF71" i="3"/>
  <c r="AE71" i="3"/>
  <c r="AD71" i="3"/>
  <c r="Z71" i="3"/>
  <c r="I71" i="3"/>
  <c r="AL71" i="3" s="1"/>
  <c r="BJ69" i="3"/>
  <c r="BF69" i="3"/>
  <c r="BD69" i="3"/>
  <c r="AP69" i="3"/>
  <c r="BI69" i="3" s="1"/>
  <c r="AC69" i="3" s="1"/>
  <c r="AO69" i="3"/>
  <c r="BH69" i="3" s="1"/>
  <c r="AB69" i="3" s="1"/>
  <c r="AK69" i="3"/>
  <c r="AJ69" i="3"/>
  <c r="AH69" i="3"/>
  <c r="AG69" i="3"/>
  <c r="AF69" i="3"/>
  <c r="AE69" i="3"/>
  <c r="AD69" i="3"/>
  <c r="Z69" i="3"/>
  <c r="I69" i="3"/>
  <c r="AL69" i="3" s="1"/>
  <c r="BJ67" i="3"/>
  <c r="BF67" i="3"/>
  <c r="BD67" i="3"/>
  <c r="AP67" i="3"/>
  <c r="BI67" i="3" s="1"/>
  <c r="AC67" i="3" s="1"/>
  <c r="AO67" i="3"/>
  <c r="BH67" i="3" s="1"/>
  <c r="AB67" i="3" s="1"/>
  <c r="AL67" i="3"/>
  <c r="AK67" i="3"/>
  <c r="AJ67" i="3"/>
  <c r="AH67" i="3"/>
  <c r="AG67" i="3"/>
  <c r="AF67" i="3"/>
  <c r="AE67" i="3"/>
  <c r="AD67" i="3"/>
  <c r="Z67" i="3"/>
  <c r="I67" i="3"/>
  <c r="BJ65" i="3"/>
  <c r="BF65" i="3"/>
  <c r="BD65" i="3"/>
  <c r="AP65" i="3"/>
  <c r="AX65" i="3" s="1"/>
  <c r="AO65" i="3"/>
  <c r="BH65" i="3" s="1"/>
  <c r="AB65" i="3" s="1"/>
  <c r="AL65" i="3"/>
  <c r="AK65" i="3"/>
  <c r="AJ65" i="3"/>
  <c r="AH65" i="3"/>
  <c r="AG65" i="3"/>
  <c r="AF65" i="3"/>
  <c r="AE65" i="3"/>
  <c r="AD65" i="3"/>
  <c r="Z65" i="3"/>
  <c r="I65" i="3"/>
  <c r="BJ63" i="3"/>
  <c r="BF63" i="3"/>
  <c r="BD63" i="3"/>
  <c r="AP63" i="3"/>
  <c r="BI63" i="3" s="1"/>
  <c r="AC63" i="3" s="1"/>
  <c r="AO63" i="3"/>
  <c r="AW63" i="3" s="1"/>
  <c r="AK63" i="3"/>
  <c r="AJ63" i="3"/>
  <c r="AH63" i="3"/>
  <c r="AG63" i="3"/>
  <c r="AF63" i="3"/>
  <c r="AE63" i="3"/>
  <c r="AD63" i="3"/>
  <c r="Z63" i="3"/>
  <c r="I63" i="3"/>
  <c r="AL63" i="3" s="1"/>
  <c r="AS62" i="3"/>
  <c r="BJ60" i="3"/>
  <c r="BF60" i="3"/>
  <c r="BD60" i="3"/>
  <c r="AX60" i="3"/>
  <c r="AP60" i="3"/>
  <c r="BI60" i="3" s="1"/>
  <c r="AC60" i="3" s="1"/>
  <c r="AO60" i="3"/>
  <c r="BH60" i="3" s="1"/>
  <c r="AB60" i="3" s="1"/>
  <c r="AK60" i="3"/>
  <c r="AJ60" i="3"/>
  <c r="AH60" i="3"/>
  <c r="AG60" i="3"/>
  <c r="AF60" i="3"/>
  <c r="AE60" i="3"/>
  <c r="AD60" i="3"/>
  <c r="Z60" i="3"/>
  <c r="I60" i="3"/>
  <c r="AL60" i="3" s="1"/>
  <c r="BJ58" i="3"/>
  <c r="BF58" i="3"/>
  <c r="BD58" i="3"/>
  <c r="AP58" i="3"/>
  <c r="BI58" i="3" s="1"/>
  <c r="AC58" i="3" s="1"/>
  <c r="AO58" i="3"/>
  <c r="BH58" i="3" s="1"/>
  <c r="AB58" i="3" s="1"/>
  <c r="AK58" i="3"/>
  <c r="AJ58" i="3"/>
  <c r="AH58" i="3"/>
  <c r="AG58" i="3"/>
  <c r="AF58" i="3"/>
  <c r="AE58" i="3"/>
  <c r="AD58" i="3"/>
  <c r="Z58" i="3"/>
  <c r="I58" i="3"/>
  <c r="AL58" i="3" s="1"/>
  <c r="BJ56" i="3"/>
  <c r="BF56" i="3"/>
  <c r="BD56" i="3"/>
  <c r="AP56" i="3"/>
  <c r="AX56" i="3" s="1"/>
  <c r="AO56" i="3"/>
  <c r="BH56" i="3" s="1"/>
  <c r="AB56" i="3" s="1"/>
  <c r="AK56" i="3"/>
  <c r="AJ56" i="3"/>
  <c r="AH56" i="3"/>
  <c r="AG56" i="3"/>
  <c r="AF56" i="3"/>
  <c r="AE56" i="3"/>
  <c r="AD56" i="3"/>
  <c r="Z56" i="3"/>
  <c r="I56" i="3"/>
  <c r="AL56" i="3" s="1"/>
  <c r="BJ54" i="3"/>
  <c r="BF54" i="3"/>
  <c r="BD54" i="3"/>
  <c r="AP54" i="3"/>
  <c r="BI54" i="3" s="1"/>
  <c r="AC54" i="3" s="1"/>
  <c r="AO54" i="3"/>
  <c r="AW54" i="3" s="1"/>
  <c r="AK54" i="3"/>
  <c r="AT51" i="3" s="1"/>
  <c r="AJ54" i="3"/>
  <c r="AH54" i="3"/>
  <c r="AG54" i="3"/>
  <c r="AF54" i="3"/>
  <c r="AE54" i="3"/>
  <c r="AD54" i="3"/>
  <c r="Z54" i="3"/>
  <c r="I54" i="3"/>
  <c r="AL54" i="3" s="1"/>
  <c r="BJ52" i="3"/>
  <c r="BF52" i="3"/>
  <c r="BD52" i="3"/>
  <c r="AX52" i="3"/>
  <c r="AP52" i="3"/>
  <c r="BI52" i="3" s="1"/>
  <c r="AC52" i="3" s="1"/>
  <c r="AO52" i="3"/>
  <c r="BH52" i="3" s="1"/>
  <c r="AB52" i="3" s="1"/>
  <c r="AK52" i="3"/>
  <c r="AJ52" i="3"/>
  <c r="AH52" i="3"/>
  <c r="AG52" i="3"/>
  <c r="AF52" i="3"/>
  <c r="AE52" i="3"/>
  <c r="AD52" i="3"/>
  <c r="Z52" i="3"/>
  <c r="I52" i="3"/>
  <c r="AL52" i="3" s="1"/>
  <c r="BJ49" i="3"/>
  <c r="BF49" i="3"/>
  <c r="BD49" i="3"/>
  <c r="AP49" i="3"/>
  <c r="BI49" i="3" s="1"/>
  <c r="AE49" i="3" s="1"/>
  <c r="AO49" i="3"/>
  <c r="BH49" i="3" s="1"/>
  <c r="AD49" i="3" s="1"/>
  <c r="AL49" i="3"/>
  <c r="AK49" i="3"/>
  <c r="AJ49" i="3"/>
  <c r="AH49" i="3"/>
  <c r="AG49" i="3"/>
  <c r="AF49" i="3"/>
  <c r="AC49" i="3"/>
  <c r="AB49" i="3"/>
  <c r="Z49" i="3"/>
  <c r="I49" i="3"/>
  <c r="BJ47" i="3"/>
  <c r="BF47" i="3"/>
  <c r="BD47" i="3"/>
  <c r="AP47" i="3"/>
  <c r="AX47" i="3" s="1"/>
  <c r="AO47" i="3"/>
  <c r="BH47" i="3" s="1"/>
  <c r="AD47" i="3" s="1"/>
  <c r="AL47" i="3"/>
  <c r="AK47" i="3"/>
  <c r="AJ47" i="3"/>
  <c r="AS46" i="3" s="1"/>
  <c r="AH47" i="3"/>
  <c r="AG47" i="3"/>
  <c r="AF47" i="3"/>
  <c r="AC47" i="3"/>
  <c r="AB47" i="3"/>
  <c r="Z47" i="3"/>
  <c r="I47" i="3"/>
  <c r="AT46" i="3"/>
  <c r="BJ43" i="3"/>
  <c r="BF43" i="3"/>
  <c r="BD43" i="3"/>
  <c r="AP43" i="3"/>
  <c r="AO43" i="3"/>
  <c r="AW43" i="3" s="1"/>
  <c r="AK43" i="3"/>
  <c r="AJ43" i="3"/>
  <c r="AS42" i="3" s="1"/>
  <c r="AH43" i="3"/>
  <c r="AG43" i="3"/>
  <c r="AF43" i="3"/>
  <c r="AE43" i="3"/>
  <c r="AD43" i="3"/>
  <c r="Z43" i="3"/>
  <c r="I43" i="3"/>
  <c r="AL43" i="3" s="1"/>
  <c r="AU42" i="3" s="1"/>
  <c r="AT42" i="3"/>
  <c r="I42" i="3"/>
  <c r="BJ40" i="3"/>
  <c r="BF40" i="3"/>
  <c r="BD40" i="3"/>
  <c r="AX40" i="3"/>
  <c r="AP40" i="3"/>
  <c r="BI40" i="3" s="1"/>
  <c r="AC40" i="3" s="1"/>
  <c r="AO40" i="3"/>
  <c r="AW40" i="3" s="1"/>
  <c r="AK40" i="3"/>
  <c r="AJ40" i="3"/>
  <c r="AS39" i="3" s="1"/>
  <c r="AH40" i="3"/>
  <c r="AG40" i="3"/>
  <c r="AF40" i="3"/>
  <c r="AE40" i="3"/>
  <c r="AD40" i="3"/>
  <c r="Z40" i="3"/>
  <c r="I40" i="3"/>
  <c r="AL40" i="3" s="1"/>
  <c r="AU39" i="3" s="1"/>
  <c r="AT39" i="3"/>
  <c r="I39" i="3"/>
  <c r="BJ37" i="3"/>
  <c r="BF37" i="3"/>
  <c r="BD37" i="3"/>
  <c r="AP37" i="3"/>
  <c r="BI37" i="3" s="1"/>
  <c r="AO37" i="3"/>
  <c r="BH37" i="3" s="1"/>
  <c r="AB37" i="3" s="1"/>
  <c r="AK37" i="3"/>
  <c r="AJ37" i="3"/>
  <c r="AS29" i="3" s="1"/>
  <c r="AH37" i="3"/>
  <c r="AG37" i="3"/>
  <c r="AF37" i="3"/>
  <c r="AE37" i="3"/>
  <c r="AD37" i="3"/>
  <c r="AC37" i="3"/>
  <c r="Z37" i="3"/>
  <c r="I37" i="3"/>
  <c r="AL37" i="3" s="1"/>
  <c r="BJ34" i="3"/>
  <c r="BF34" i="3"/>
  <c r="BD34" i="3"/>
  <c r="AP34" i="3"/>
  <c r="AX34" i="3" s="1"/>
  <c r="AO34" i="3"/>
  <c r="BH34" i="3" s="1"/>
  <c r="AB34" i="3" s="1"/>
  <c r="AK34" i="3"/>
  <c r="AJ34" i="3"/>
  <c r="AH34" i="3"/>
  <c r="AG34" i="3"/>
  <c r="AF34" i="3"/>
  <c r="AE34" i="3"/>
  <c r="AD34" i="3"/>
  <c r="Z34" i="3"/>
  <c r="I34" i="3"/>
  <c r="AL34" i="3" s="1"/>
  <c r="BJ30" i="3"/>
  <c r="BF30" i="3"/>
  <c r="BD30" i="3"/>
  <c r="AP30" i="3"/>
  <c r="AX30" i="3" s="1"/>
  <c r="AO30" i="3"/>
  <c r="AW30" i="3" s="1"/>
  <c r="AK30" i="3"/>
  <c r="AJ30" i="3"/>
  <c r="AH30" i="3"/>
  <c r="AG30" i="3"/>
  <c r="AF30" i="3"/>
  <c r="AE30" i="3"/>
  <c r="AD30" i="3"/>
  <c r="Z30" i="3"/>
  <c r="I30" i="3"/>
  <c r="AL30" i="3" s="1"/>
  <c r="I29" i="3"/>
  <c r="BJ27" i="3"/>
  <c r="BH27" i="3"/>
  <c r="AB27" i="3" s="1"/>
  <c r="BF27" i="3"/>
  <c r="BD27" i="3"/>
  <c r="AP27" i="3"/>
  <c r="BI27" i="3" s="1"/>
  <c r="AC27" i="3" s="1"/>
  <c r="AO27" i="3"/>
  <c r="AW27" i="3" s="1"/>
  <c r="AK27" i="3"/>
  <c r="AJ27" i="3"/>
  <c r="AH27" i="3"/>
  <c r="AG27" i="3"/>
  <c r="AF27" i="3"/>
  <c r="AE27" i="3"/>
  <c r="AD27" i="3"/>
  <c r="Z27" i="3"/>
  <c r="I27" i="3"/>
  <c r="BJ25" i="3"/>
  <c r="BF25" i="3"/>
  <c r="BD25" i="3"/>
  <c r="AP25" i="3"/>
  <c r="BI25" i="3" s="1"/>
  <c r="AC25" i="3" s="1"/>
  <c r="AO25" i="3"/>
  <c r="BH25" i="3" s="1"/>
  <c r="AB25" i="3" s="1"/>
  <c r="AL25" i="3"/>
  <c r="AK25" i="3"/>
  <c r="AJ25" i="3"/>
  <c r="AH25" i="3"/>
  <c r="AG25" i="3"/>
  <c r="AF25" i="3"/>
  <c r="AE25" i="3"/>
  <c r="AD25" i="3"/>
  <c r="Z25" i="3"/>
  <c r="I25" i="3"/>
  <c r="AT24" i="3"/>
  <c r="BJ22" i="3"/>
  <c r="BF22" i="3"/>
  <c r="BD22" i="3"/>
  <c r="AX22" i="3"/>
  <c r="AP22" i="3"/>
  <c r="BI22" i="3" s="1"/>
  <c r="AC22" i="3" s="1"/>
  <c r="AO22" i="3"/>
  <c r="BH22" i="3" s="1"/>
  <c r="AB22" i="3" s="1"/>
  <c r="AK22" i="3"/>
  <c r="AJ22" i="3"/>
  <c r="AH22" i="3"/>
  <c r="AG22" i="3"/>
  <c r="AF22" i="3"/>
  <c r="AE22" i="3"/>
  <c r="AD22" i="3"/>
  <c r="Z22" i="3"/>
  <c r="I22" i="3"/>
  <c r="AL22" i="3" s="1"/>
  <c r="BJ20" i="3"/>
  <c r="BF20" i="3"/>
  <c r="BD20" i="3"/>
  <c r="AP20" i="3"/>
  <c r="AX20" i="3" s="1"/>
  <c r="AO20" i="3"/>
  <c r="BH20" i="3" s="1"/>
  <c r="AK20" i="3"/>
  <c r="AJ20" i="3"/>
  <c r="AS19" i="3" s="1"/>
  <c r="AH20" i="3"/>
  <c r="AG20" i="3"/>
  <c r="AF20" i="3"/>
  <c r="AE20" i="3"/>
  <c r="AD20" i="3"/>
  <c r="AB20" i="3"/>
  <c r="Z20" i="3"/>
  <c r="I20" i="3"/>
  <c r="AL20" i="3" s="1"/>
  <c r="AT19" i="3"/>
  <c r="I19" i="3"/>
  <c r="BJ17" i="3"/>
  <c r="BF17" i="3"/>
  <c r="BD17" i="3"/>
  <c r="AP17" i="3"/>
  <c r="BI17" i="3" s="1"/>
  <c r="AC17" i="3" s="1"/>
  <c r="AO17" i="3"/>
  <c r="AW17" i="3" s="1"/>
  <c r="AK17" i="3"/>
  <c r="AJ17" i="3"/>
  <c r="AH17" i="3"/>
  <c r="AG17" i="3"/>
  <c r="AF17" i="3"/>
  <c r="AE17" i="3"/>
  <c r="AD17" i="3"/>
  <c r="Z17" i="3"/>
  <c r="I17" i="3"/>
  <c r="AL17" i="3" s="1"/>
  <c r="BJ14" i="3"/>
  <c r="BF14" i="3"/>
  <c r="BD14" i="3"/>
  <c r="AP14" i="3"/>
  <c r="BI14" i="3" s="1"/>
  <c r="AC14" i="3" s="1"/>
  <c r="AO14" i="3"/>
  <c r="BH14" i="3" s="1"/>
  <c r="AB14" i="3" s="1"/>
  <c r="AK14" i="3"/>
  <c r="AT13" i="3" s="1"/>
  <c r="AJ14" i="3"/>
  <c r="AH14" i="3"/>
  <c r="AG14" i="3"/>
  <c r="AF14" i="3"/>
  <c r="AE14" i="3"/>
  <c r="AD14" i="3"/>
  <c r="C16" i="1" s="1"/>
  <c r="Z14" i="3"/>
  <c r="I14" i="3"/>
  <c r="AL14" i="3" s="1"/>
  <c r="AU13" i="3" s="1"/>
  <c r="AS13" i="3"/>
  <c r="AU1" i="3"/>
  <c r="AT1" i="3"/>
  <c r="AS1" i="3"/>
  <c r="I35" i="2"/>
  <c r="I36" i="2" s="1"/>
  <c r="I26" i="2"/>
  <c r="I25" i="2"/>
  <c r="I24" i="2"/>
  <c r="I23" i="2"/>
  <c r="I22" i="2"/>
  <c r="I21" i="2"/>
  <c r="I27" i="2" s="1"/>
  <c r="I17" i="2"/>
  <c r="I16" i="2"/>
  <c r="I15" i="2"/>
  <c r="I18" i="2" s="1"/>
  <c r="F29" i="2" s="1"/>
  <c r="I10" i="2"/>
  <c r="F10" i="2"/>
  <c r="C10" i="2"/>
  <c r="F8" i="2"/>
  <c r="C8" i="2"/>
  <c r="F6" i="2"/>
  <c r="C6" i="2"/>
  <c r="F4" i="2"/>
  <c r="C4" i="2"/>
  <c r="F2" i="2"/>
  <c r="C2" i="2"/>
  <c r="C28" i="1"/>
  <c r="F28" i="1" s="1"/>
  <c r="I10" i="1"/>
  <c r="F10" i="1"/>
  <c r="C10" i="1"/>
  <c r="F8" i="1"/>
  <c r="C8" i="1"/>
  <c r="F6" i="1"/>
  <c r="C6" i="1"/>
  <c r="F4" i="1"/>
  <c r="C4" i="1"/>
  <c r="F2" i="1"/>
  <c r="C2" i="1"/>
  <c r="C20" i="1" l="1"/>
  <c r="C18" i="1"/>
  <c r="AX25" i="3"/>
  <c r="AU29" i="3"/>
  <c r="AT29" i="3"/>
  <c r="AW34" i="3"/>
  <c r="C19" i="1"/>
  <c r="AX37" i="3"/>
  <c r="AU46" i="3"/>
  <c r="AX49" i="3"/>
  <c r="I51" i="3"/>
  <c r="AW56" i="3"/>
  <c r="AW58" i="3"/>
  <c r="AX67" i="3"/>
  <c r="AX75" i="3"/>
  <c r="C21" i="1"/>
  <c r="C27" i="1"/>
  <c r="AV17" i="3"/>
  <c r="AX17" i="3"/>
  <c r="BC17" i="3" s="1"/>
  <c r="AU19" i="3"/>
  <c r="AW20" i="3"/>
  <c r="AV20" i="3" s="1"/>
  <c r="AW22" i="3"/>
  <c r="AW25" i="3"/>
  <c r="AS24" i="3"/>
  <c r="AX27" i="3"/>
  <c r="AV30" i="3"/>
  <c r="AV34" i="3"/>
  <c r="AW37" i="3"/>
  <c r="AW47" i="3"/>
  <c r="BC47" i="3" s="1"/>
  <c r="I46" i="3"/>
  <c r="AW49" i="3"/>
  <c r="BC49" i="3" s="1"/>
  <c r="AS51" i="3"/>
  <c r="AV56" i="3"/>
  <c r="AX58" i="3"/>
  <c r="AT62" i="3"/>
  <c r="AW65" i="3"/>
  <c r="AV65" i="3" s="1"/>
  <c r="AW67" i="3"/>
  <c r="BC67" i="3" s="1"/>
  <c r="AX69" i="3"/>
  <c r="AW73" i="3"/>
  <c r="AV73" i="3" s="1"/>
  <c r="AW75" i="3"/>
  <c r="BC75" i="3" s="1"/>
  <c r="AX77" i="3"/>
  <c r="AW84" i="3"/>
  <c r="AW95" i="3"/>
  <c r="I97" i="3"/>
  <c r="AS97" i="3"/>
  <c r="BI20" i="3"/>
  <c r="AC20" i="3" s="1"/>
  <c r="BC25" i="3"/>
  <c r="AV25" i="3"/>
  <c r="BH40" i="3"/>
  <c r="AB40" i="3" s="1"/>
  <c r="AU51" i="3"/>
  <c r="BC65" i="3"/>
  <c r="BI43" i="3"/>
  <c r="AC43" i="3" s="1"/>
  <c r="AX43" i="3"/>
  <c r="BC43" i="3" s="1"/>
  <c r="AW14" i="3"/>
  <c r="BC20" i="3"/>
  <c r="I24" i="3"/>
  <c r="AL27" i="3"/>
  <c r="AU24" i="3" s="1"/>
  <c r="BI30" i="3"/>
  <c r="AC30" i="3" s="1"/>
  <c r="BC34" i="3"/>
  <c r="BC56" i="3"/>
  <c r="AV40" i="3"/>
  <c r="BC40" i="3"/>
  <c r="I13" i="3"/>
  <c r="AX14" i="3"/>
  <c r="BH17" i="3"/>
  <c r="AB17" i="3" s="1"/>
  <c r="AV27" i="3"/>
  <c r="BC27" i="3"/>
  <c r="BC30" i="3"/>
  <c r="BC37" i="3"/>
  <c r="AV37" i="3"/>
  <c r="AV43" i="3"/>
  <c r="AU62" i="3"/>
  <c r="BC73" i="3"/>
  <c r="AU97" i="3"/>
  <c r="BH30" i="3"/>
  <c r="AB30" i="3" s="1"/>
  <c r="BI34" i="3"/>
  <c r="AC34" i="3" s="1"/>
  <c r="BH43" i="3"/>
  <c r="AB43" i="3" s="1"/>
  <c r="BI47" i="3"/>
  <c r="AE47" i="3" s="1"/>
  <c r="C17" i="1" s="1"/>
  <c r="AV49" i="3"/>
  <c r="AW52" i="3"/>
  <c r="AX54" i="3"/>
  <c r="AV54" i="3" s="1"/>
  <c r="BH54" i="3"/>
  <c r="AB54" i="3" s="1"/>
  <c r="BI56" i="3"/>
  <c r="AC56" i="3" s="1"/>
  <c r="AV58" i="3"/>
  <c r="AW60" i="3"/>
  <c r="I62" i="3"/>
  <c r="AX63" i="3"/>
  <c r="AV63" i="3" s="1"/>
  <c r="BH63" i="3"/>
  <c r="AB63" i="3" s="1"/>
  <c r="BI65" i="3"/>
  <c r="AC65" i="3" s="1"/>
  <c r="AV67" i="3"/>
  <c r="AW69" i="3"/>
  <c r="AX71" i="3"/>
  <c r="BC71" i="3" s="1"/>
  <c r="BH71" i="3"/>
  <c r="AB71" i="3" s="1"/>
  <c r="BI73" i="3"/>
  <c r="AC73" i="3" s="1"/>
  <c r="AV75" i="3"/>
  <c r="AW77" i="3"/>
  <c r="AX79" i="3"/>
  <c r="AV79" i="3" s="1"/>
  <c r="BH79" i="3"/>
  <c r="AB79" i="3" s="1"/>
  <c r="BI82" i="3"/>
  <c r="AC82" i="3" s="1"/>
  <c r="AW86" i="3"/>
  <c r="AX88" i="3"/>
  <c r="BC88" i="3" s="1"/>
  <c r="BH88" i="3"/>
  <c r="AB88" i="3" s="1"/>
  <c r="BI91" i="3"/>
  <c r="AC91" i="3" s="1"/>
  <c r="AW98" i="3"/>
  <c r="AX99" i="3"/>
  <c r="AV99" i="3" s="1"/>
  <c r="BH99" i="3"/>
  <c r="AW82" i="3"/>
  <c r="AX84" i="3"/>
  <c r="AV84" i="3" s="1"/>
  <c r="AW91" i="3"/>
  <c r="AX95" i="3"/>
  <c r="BC95" i="3" s="1"/>
  <c r="C15" i="1" l="1"/>
  <c r="BC99" i="3"/>
  <c r="AV71" i="3"/>
  <c r="BC79" i="3"/>
  <c r="BC22" i="3"/>
  <c r="AV22" i="3"/>
  <c r="BC58" i="3"/>
  <c r="C14" i="1"/>
  <c r="C22" i="1" s="1"/>
  <c r="BC63" i="3"/>
  <c r="BC54" i="3"/>
  <c r="AV47" i="3"/>
  <c r="AV98" i="3"/>
  <c r="BC98" i="3"/>
  <c r="AV88" i="3"/>
  <c r="I101" i="3"/>
  <c r="I12" i="3"/>
  <c r="AV82" i="3"/>
  <c r="BC82" i="3"/>
  <c r="AV95" i="3"/>
  <c r="AV86" i="3"/>
  <c r="BC86" i="3"/>
  <c r="AV60" i="3"/>
  <c r="BC60" i="3"/>
  <c r="BC84" i="3"/>
  <c r="AV77" i="3"/>
  <c r="BC77" i="3"/>
  <c r="AV52" i="3"/>
  <c r="BC52" i="3"/>
  <c r="AV91" i="3"/>
  <c r="BC91" i="3"/>
  <c r="AV69" i="3"/>
  <c r="BC69" i="3"/>
  <c r="BC14" i="3"/>
  <c r="AV14" i="3"/>
  <c r="C29" i="1"/>
  <c r="F29" i="1" l="1"/>
  <c r="I28" i="1"/>
  <c r="I29" i="1" l="1"/>
</calcChain>
</file>

<file path=xl/sharedStrings.xml><?xml version="1.0" encoding="utf-8"?>
<sst xmlns="http://schemas.openxmlformats.org/spreadsheetml/2006/main" count="742" uniqueCount="275">
  <si>
    <t>Krycí list slepého rozpočtu</t>
  </si>
  <si>
    <t>Název stavby:</t>
  </si>
  <si>
    <t>Objednatel:</t>
  </si>
  <si>
    <t>IČO/DIČ:</t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</si>
  <si>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</si>
  <si>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</si>
  <si>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</si>
  <si>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</si>
  <si>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</si>
  <si>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</si>
  <si>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</si>
  <si>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</si>
  <si>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</si>
  <si>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</si>
  <si>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</si>
  <si>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</si>
  <si>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</si>
  <si>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</si>
  <si>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</si>
  <si>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</si>
  <si>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</si>
  <si>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</si>
  <si>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</si>
  <si>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</si>
  <si>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</si>
  <si>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</si>
  <si>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</si>
  <si>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</si>
  <si>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</si>
  <si>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</si>
  <si>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</si>
  <si>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</si>
  <si>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</si>
  <si>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</si>
  <si>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</si>
  <si>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</si>
  <si>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</si>
  <si>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</si>
  <si>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</si>
  <si>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</si>
  <si>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</si>
  <si>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</si>
  <si>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</si>
  <si>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</si>
  <si>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</si>
  <si>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</si>
  <si>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</si>
  <si>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</si>
  <si>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</si>
  <si>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</si>
  <si>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</si>
  <si>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</si>
  <si>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</si>
  <si>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</si>
  <si>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</si>
  <si>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</si>
  <si>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</si>
  <si>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</si>
  <si>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</si>
  <si>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</si>
  <si>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</si>
  <si>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</si>
  <si>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</si>
  <si>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Doba výstavby:</t>
  </si>
  <si>
    <t xml:space="preserve"> </t>
  </si>
  <si>
    <t> </t>
  </si>
  <si>
    <t>08.07.2025</t>
  </si>
  <si>
    <t>Zpracováno dne:</t>
  </si>
  <si>
    <t>Č</t>
  </si>
  <si>
    <t>Objekt</t>
  </si>
  <si>
    <t>Kód</t>
  </si>
  <si>
    <t>Zkrácený popis</t>
  </si>
  <si>
    <t>MJ</t>
  </si>
  <si>
    <t>Množství</t>
  </si>
  <si>
    <t>Cena/MJ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</si>
  <si>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</si>
  <si>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</si>
  <si>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</si>
  <si>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</si>
  <si>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</si>
  <si>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</si>
  <si>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</si>
  <si>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</si>
  <si>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Celkem</t>
  </si>
  <si>
    <t>Jednot.</t>
  </si>
  <si>
    <t>Celkem/MJ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</si>
  <si>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</si>
  <si>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</si>
  <si>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</si>
  <si>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</si>
  <si>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</si>
  <si>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</si>
  <si>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</si>
  <si>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</si>
  <si>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</si>
  <si>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</si>
  <si>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</si>
  <si>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</si>
  <si>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</si>
  <si>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D10412</t>
  </si>
  <si>
    <t>Rozšíření areálového vodovodu a dešťová kanalizace</t>
  </si>
  <si>
    <t>13</t>
  </si>
  <si>
    <t>Hloubené vykopávky</t>
  </si>
  <si>
    <t>1</t>
  </si>
  <si>
    <t>132101210R00</t>
  </si>
  <si>
    <t>Hloubení rýh š.do 200 cm hor.2 do 50 m3, STROJNĚ</t>
  </si>
  <si>
    <t>m3</t>
  </si>
  <si>
    <t>RTS I / 2025</t>
  </si>
  <si>
    <t>13_</t>
  </si>
  <si>
    <t>D10412_1_</t>
  </si>
  <si>
    <t>D10412_</t>
  </si>
  <si>
    <t>P</t>
  </si>
  <si>
    <t>;vodovod; 0,75*1,1*23,0</t>
  </si>
  <si>
    <t>;kanalizace; 0,9*2,4*3,0*5</t>
  </si>
  <si>
    <t>2</t>
  </si>
  <si>
    <t>139601101R00</t>
  </si>
  <si>
    <t>Ruční výkop jam, rýh a šachet v hornině tř. 1 - 2</t>
  </si>
  <si>
    <t>2,2</t>
  </si>
  <si>
    <t>15</t>
  </si>
  <si>
    <t>Roubení</t>
  </si>
  <si>
    <t>3</t>
  </si>
  <si>
    <t>151101101R00</t>
  </si>
  <si>
    <t>Pažení a rozepření stěn rýh - příložné - hl.do 2 m</t>
  </si>
  <si>
    <t>m2</t>
  </si>
  <si>
    <t>15_</t>
  </si>
  <si>
    <t>2,5*3,0*2*5</t>
  </si>
  <si>
    <t>4</t>
  </si>
  <si>
    <t>151101111R00</t>
  </si>
  <si>
    <t>Odstranění pažení stěn rýh - příložné - hl. do 2 m</t>
  </si>
  <si>
    <t>75,0</t>
  </si>
  <si>
    <t>16</t>
  </si>
  <si>
    <t>Přemístění výkopku</t>
  </si>
  <si>
    <t>5</t>
  </si>
  <si>
    <t>167101101R00</t>
  </si>
  <si>
    <t>Nakládání výkopku z hor. 1 ÷ 4 v množství do 100 m3</t>
  </si>
  <si>
    <t>16_</t>
  </si>
  <si>
    <t>51,4</t>
  </si>
  <si>
    <t>6</t>
  </si>
  <si>
    <t>162701101R00</t>
  </si>
  <si>
    <t>Vodorovné přemístění výkopku z hor.1-4 do 6000 m</t>
  </si>
  <si>
    <t>17</t>
  </si>
  <si>
    <t>Konstrukce ze zemin</t>
  </si>
  <si>
    <t>7</t>
  </si>
  <si>
    <t>175101101RT2</t>
  </si>
  <si>
    <t>Obsyp potrubí bez prohození sypaniny</t>
  </si>
  <si>
    <t>17_</t>
  </si>
  <si>
    <t>s dodáním štěrkopísku frakce 0 - 22 mm</t>
  </si>
  <si>
    <t>;voda; 0,75*0,3*23,0</t>
  </si>
  <si>
    <t>;kanalizace; 0,3*0,9*3,0*5</t>
  </si>
  <si>
    <t>8</t>
  </si>
  <si>
    <t>174101101R00</t>
  </si>
  <si>
    <t>Zásyp jam, rýh, šachet se zhutněním</t>
  </si>
  <si>
    <t>;voda; 0,75*0,6*23,0</t>
  </si>
  <si>
    <t>;kanalizace; 1,9*0,9*3,0*5</t>
  </si>
  <si>
    <t>9</t>
  </si>
  <si>
    <t>583423602</t>
  </si>
  <si>
    <t>Kamenivo drcené 0/63</t>
  </si>
  <si>
    <t>t</t>
  </si>
  <si>
    <t>M</t>
  </si>
  <si>
    <t>36*1,9</t>
  </si>
  <si>
    <t>19</t>
  </si>
  <si>
    <t>Hloubení pro podzemní stěny, ražení a hloubení důlní</t>
  </si>
  <si>
    <t>10</t>
  </si>
  <si>
    <t>199000002R00</t>
  </si>
  <si>
    <t>Poplatek za skládku horniny 1- 4, č. dle katal. odpadů 17 05 04</t>
  </si>
  <si>
    <t>19_</t>
  </si>
  <si>
    <t>45</t>
  </si>
  <si>
    <t>Podkladní a vedlejší konstrukce (kromě vozovek a železničního svršku)</t>
  </si>
  <si>
    <t>11</t>
  </si>
  <si>
    <t>451572111R00</t>
  </si>
  <si>
    <t>Lože pod potrubí z kameniva těženého 0 - 4 mm</t>
  </si>
  <si>
    <t>45_</t>
  </si>
  <si>
    <t>D10412_4_</t>
  </si>
  <si>
    <t>;voda; 0,15*0,75*23,0</t>
  </si>
  <si>
    <t>;kanalizace; 0,12*0,9*3,0*5</t>
  </si>
  <si>
    <t>722</t>
  </si>
  <si>
    <t>Vnitřní vodovod</t>
  </si>
  <si>
    <t>12</t>
  </si>
  <si>
    <t>722171212R00</t>
  </si>
  <si>
    <t>Potrubí plastové PE-HD vodovodní, D 25 x 3,5 mm</t>
  </si>
  <si>
    <t>m</t>
  </si>
  <si>
    <t>722_</t>
  </si>
  <si>
    <t>D10412_72_</t>
  </si>
  <si>
    <t>24</t>
  </si>
  <si>
    <t>722221122R00</t>
  </si>
  <si>
    <t>Kohout vodovodní, kulový, zahradní,  DN 15 mm x DN 20 mm</t>
  </si>
  <si>
    <t>kus</t>
  </si>
  <si>
    <t>87</t>
  </si>
  <si>
    <t>Potrubí z trub plastických, skleněných a čedičových</t>
  </si>
  <si>
    <t>14</t>
  </si>
  <si>
    <t>871353121R00</t>
  </si>
  <si>
    <t>Montáž trub kanaliz. z plastu, hrdlových, DN 200</t>
  </si>
  <si>
    <t>87_</t>
  </si>
  <si>
    <t>D10412_8_</t>
  </si>
  <si>
    <t>31</t>
  </si>
  <si>
    <t>286111125</t>
  </si>
  <si>
    <t>Trubka kanalizační KGEM SN 8 PVC 200 x 5,9 x 1000 mm</t>
  </si>
  <si>
    <t>32</t>
  </si>
  <si>
    <t>877353123R00</t>
  </si>
  <si>
    <t>Montáž tvarovek jednoos. plast. gum.kroužek DN 200</t>
  </si>
  <si>
    <t>20+4</t>
  </si>
  <si>
    <t>28651667.A</t>
  </si>
  <si>
    <t>Koleno kanalizační KGB 200/ 45° PVC</t>
  </si>
  <si>
    <t>20</t>
  </si>
  <si>
    <t>18</t>
  </si>
  <si>
    <t>28651833.A</t>
  </si>
  <si>
    <t>Zátka hrdla kanalizační KGM DN 200 PVC</t>
  </si>
  <si>
    <t>89</t>
  </si>
  <si>
    <t>Ostatní konstrukce a práce na trubním vedení</t>
  </si>
  <si>
    <t>891211111R00</t>
  </si>
  <si>
    <t>Montáž vodovodních šoupátek ve výkopu DN 50</t>
  </si>
  <si>
    <t>89_</t>
  </si>
  <si>
    <t>42293138</t>
  </si>
  <si>
    <t>Souprava zemní  teleskopická, pro domovní přípojky č. 9601, krycí hloubka 0,8 - 1,2 m</t>
  </si>
  <si>
    <t>21</t>
  </si>
  <si>
    <t>42228100</t>
  </si>
  <si>
    <t>Šoupátko  DN 1" pro domovní přípojky - voda</t>
  </si>
  <si>
    <t>22</t>
  </si>
  <si>
    <t>899731114R00</t>
  </si>
  <si>
    <t>Vodič signalizační CYY 6 mm2</t>
  </si>
  <si>
    <t>30</t>
  </si>
  <si>
    <t>23</t>
  </si>
  <si>
    <t>899711122R00</t>
  </si>
  <si>
    <t>Fólie výstražná z PVC šedá, šířka 30 cm</t>
  </si>
  <si>
    <t>892241111R00</t>
  </si>
  <si>
    <t>Tlaková zkouška vodovodního potrubí DN 80</t>
  </si>
  <si>
    <t>25</t>
  </si>
  <si>
    <t>899401112R00</t>
  </si>
  <si>
    <t>Osazení poklopů litinových šoupátkových</t>
  </si>
  <si>
    <t>26</t>
  </si>
  <si>
    <t>42200750</t>
  </si>
  <si>
    <t>Poklop  uliční šoupátkový 1750 - voda</t>
  </si>
  <si>
    <t>27</t>
  </si>
  <si>
    <t>893153122RT2</t>
  </si>
  <si>
    <t>Osazení šachty vodoměrné plastové samonosné kruhové vnějšího průměru přes 1,0 m do 1,5 m</t>
  </si>
  <si>
    <t>s dodávkou šachty H-PLAST D 1200 x 1500 mm z polypropylenu</t>
  </si>
  <si>
    <t>28</t>
  </si>
  <si>
    <t>55118004</t>
  </si>
  <si>
    <t>Souprava vodoměrná HAWLE 101.11 1"-1"</t>
  </si>
  <si>
    <t>29</t>
  </si>
  <si>
    <t>891269111R00</t>
  </si>
  <si>
    <t>Montáž navrtávacích pasů DN 100</t>
  </si>
  <si>
    <t>42273532</t>
  </si>
  <si>
    <t>Pas navrtávací litinový  d 90 mm</t>
  </si>
  <si>
    <t>899623141R00</t>
  </si>
  <si>
    <t>Obetonování potrubí nebo zdiva stok betonem C12/15</t>
  </si>
  <si>
    <t>0,6*0,6*0,3*5</t>
  </si>
  <si>
    <t>90</t>
  </si>
  <si>
    <t>Hodinové zúčtovací sazby (HZS)</t>
  </si>
  <si>
    <t>900      R02</t>
  </si>
  <si>
    <t>HZS</t>
  </si>
  <si>
    <t>h</t>
  </si>
  <si>
    <t>90_</t>
  </si>
  <si>
    <t>D10412_9_</t>
  </si>
  <si>
    <t>stavební dělník v tarifní třídě 5</t>
  </si>
  <si>
    <t>;stavební přípomoce; 10</t>
  </si>
  <si>
    <t>97</t>
  </si>
  <si>
    <t>Prorážení otvorů a ostatní bourací práce</t>
  </si>
  <si>
    <t>33</t>
  </si>
  <si>
    <t>970051250R00</t>
  </si>
  <si>
    <t>Vrtání jádrové do ŽB do D 250 mm</t>
  </si>
  <si>
    <t>97_</t>
  </si>
  <si>
    <t>0,21*5</t>
  </si>
  <si>
    <t>H27</t>
  </si>
  <si>
    <t>Vedení trubní dálková a přípojná</t>
  </si>
  <si>
    <t>34</t>
  </si>
  <si>
    <t>998276101R00</t>
  </si>
  <si>
    <t>Přesun hmot, trubní vedení plastová, otevř. výkop</t>
  </si>
  <si>
    <t>H27_</t>
  </si>
  <si>
    <t>35</t>
  </si>
  <si>
    <t>998276118R00</t>
  </si>
  <si>
    <t>Přesun hmot, trubní vedení plastová, příplatek 5km</t>
  </si>
  <si>
    <t>10,11</t>
  </si>
  <si>
    <t>LITOMYŠL - VODNÍ VALY, 3. etapa regenerace nábřeží Loučné, část A</t>
  </si>
  <si>
    <t>SO 07 DEŠŤOVÁ KANALIZACE A PŘÍPOJKA VODOVODU K MĚSTSKÉMU DVORKU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</si>
</sst>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name val="Calibri"/>
      <family val="2"/>
      <charset val="238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/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4" fontId="9" fillId="0" borderId="8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left" vertical="center"/>
    </xf>
    <xf numFmtId="0" fontId="9" fillId="0" borderId="8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13" xfId="0" applyNumberFormat="1" applyFont="1" applyBorder="1" applyAlignment="1">
      <alignment horizontal="right" vertical="center"/>
    </xf>
    <xf numFmtId="4" fontId="8" fillId="2" borderId="10" xfId="0" applyNumberFormat="1" applyFont="1" applyFill="1" applyBorder="1" applyAlignment="1">
      <alignment horizontal="right" vertical="center"/>
    </xf>
    <xf numFmtId="4" fontId="8" fillId="2" borderId="8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4" fillId="0" borderId="23" xfId="0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4" fontId="3" fillId="0" borderId="5" xfId="0" applyNumberFormat="1" applyFont="1" applyBorder="1" applyAlignment="1">
      <alignment horizontal="right" vertical="center"/>
    </xf>
    <xf numFmtId="0" fontId="4" fillId="0" borderId="25" xfId="0" applyFont="1" applyBorder="1" applyAlignment="1">
      <alignment horizontal="left" vertical="center"/>
    </xf>
    <xf numFmtId="0" fontId="4" fillId="0" borderId="25" xfId="0" applyFont="1" applyBorder="1" applyAlignment="1">
      <alignment horizontal="right" vertical="center"/>
    </xf>
    <xf numFmtId="4" fontId="4" fillId="0" borderId="25" xfId="0" applyNumberFormat="1" applyFont="1" applyBorder="1" applyAlignment="1">
      <alignment horizontal="right" vertical="center"/>
    </xf>
    <xf numFmtId="4" fontId="4" fillId="2" borderId="0" xfId="0" applyNumberFormat="1" applyFont="1" applyFill="1" applyAlignment="1">
      <alignment horizontal="right" vertical="center"/>
    </xf>
    <xf numFmtId="0" fontId="4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5" xfId="0" applyFont="1" applyFill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4" xfId="0" applyFont="1" applyBorder="1"/>
    <xf numFmtId="0" fontId="11" fillId="0" borderId="0" xfId="0" applyFont="1" applyAlignment="1">
      <alignment horizontal="left" vertical="center"/>
    </xf>
    <xf numFmtId="4" fontId="11" fillId="0" borderId="0" xfId="0" applyNumberFormat="1" applyFont="1" applyAlignment="1">
      <alignment horizontal="right" vertic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1" fillId="0" borderId="7" xfId="0" applyFont="1" applyBorder="1" applyAlignment="1">
      <alignment horizontal="left" vertical="center"/>
    </xf>
    <xf numFmtId="4" fontId="11" fillId="0" borderId="7" xfId="0" applyNumberFormat="1" applyFont="1" applyBorder="1" applyAlignment="1">
      <alignment horizontal="right" vertical="center"/>
    </xf>
    <xf numFmtId="0" fontId="1" fillId="0" borderId="8" xfId="0" applyFont="1" applyBorder="1"/>
    <xf numFmtId="4" fontId="4" fillId="0" borderId="0" xfId="0" applyNumberFormat="1" applyFont="1" applyAlignment="1">
      <alignment horizontal="right" vertical="center"/>
    </xf>
    <xf numFmtId="0" fontId="9" fillId="0" borderId="20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1" fontId="3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29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21960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opLeftCell="A6" zoomScaleNormal="100" workbookViewId="0">
      <selection activeCell="K23" sqref="K23"/>
    </sheetView>
  </sheetViews>
  <sheetFormatPr defaultColWidth="12.140625" defaultRowHeight="15" customHeight="1" x14ac:dyDescent="0.25"/>
  <cols>
    <col min="1" max="1" width="9.140625" style="4" customWidth="1"/>
    <col min="2" max="2" width="12.85546875" style="4" customWidth="1"/>
    <col min="3" max="3" width="27.140625" style="4" customWidth="1"/>
    <col min="4" max="4" width="10" style="4" customWidth="1"/>
    <col min="5" max="5" width="14" style="4" customWidth="1"/>
    <col min="6" max="6" width="27.140625" style="4" customWidth="1"/>
    <col min="7" max="7" width="9.140625" style="4" customWidth="1"/>
    <col min="8" max="8" width="12.85546875" style="4" customWidth="1"/>
    <col min="9" max="9" width="27.140625" style="4" customWidth="1"/>
  </cols>
  <sheetData>
    <row r="1" spans="1:9" ht="54.75" customHeight="1" x14ac:dyDescent="0.2">
      <c r="A1" s="87" t="s">
        <v>0</v>
      </c>
      <c r="B1" s="87"/>
      <c r="C1" s="87"/>
      <c r="D1" s="87"/>
      <c r="E1" s="87"/>
      <c r="F1" s="87"/>
      <c r="G1" s="87"/>
      <c r="H1" s="87"/>
      <c r="I1" s="87"/>
    </row>
    <row r="2" spans="1:9" ht="15" customHeight="1" x14ac:dyDescent="0.2">
      <c r="A2" s="88" t="s">
        <v>1</v>
      </c>
      <c r="B2" s="88"/>
      <c r="C2" s="89" t="str">
        <f>'Stavební rozpočet'!C2</f>
        <v>LITOMYŠL - VODNÍ VALY, 3. etapa regenerace nábřeží Loučné, část A</v>
      </c>
      <c r="D2" s="89"/>
      <c r="E2" s="90" t="s">
        <v>2</v>
      </c>
      <c r="F2" s="90" t="str">
        <f>'Stavební rozpočet'!J2</f>
        <v> </v>
      </c>
      <c r="G2" s="90"/>
      <c r="H2" s="90" t="s">
        <v>3</v>
      </c>
      <c r="I2" s="91"/>
    </row>
    <row r="3" spans="1:9" ht="66" customHeight="1" x14ac:dyDescent="0.2">
      <c r="A3" s="88"/>
      <c r="B3" s="88"/>
      <c r="C3" s="89"/>
      <c r="D3" s="89"/>
      <c r="E3" s="90"/>
      <c r="F3" s="90"/>
      <c r="G3" s="90"/>
      <c r="H3" s="90"/>
      <c r="I3" s="91"/>
    </row>
    <row r="4" spans="1:9" ht="15" customHeight="1" x14ac:dyDescent="0.2">
      <c r="A4" s="84" t="s">
        <v>4</v>
      </c>
      <c r="B4" s="84"/>
      <c r="C4" s="61" t="str">
        <f>'Stavební rozpočet'!C4</f>
        <v>SO 07 DEŠŤOVÁ KANALIZACE A PŘÍPOJKA VODOVODU K MĚSTSKÉMU DVORKU</v>
      </c>
      <c r="D4" s="61"/>
      <c r="E4" s="61" t="s">
        <v>5</v>
      </c>
      <c r="F4" s="61" t="str">
        <f>'Stavební rozpočet'!J4</f>
        <v> </v>
      </c>
      <c r="G4" s="61"/>
      <c r="H4" s="61" t="s">
        <v>3</v>
      </c>
      <c r="I4" s="86"/>
    </row>
    <row r="5" spans="1:9" ht="66" customHeight="1" x14ac:dyDescent="0.2">
      <c r="A5" s="84"/>
      <c r="B5" s="84"/>
      <c r="C5" s="61"/>
      <c r="D5" s="61"/>
      <c r="E5" s="61"/>
      <c r="F5" s="61"/>
      <c r="G5" s="61"/>
      <c r="H5" s="61"/>
      <c r="I5" s="86"/>
    </row>
    <row r="6" spans="1:9" ht="15" customHeight="1" x14ac:dyDescent="0.2">
      <c r="A6" s="84" t="s">
        <v>6</v>
      </c>
      <c r="B6" s="84"/>
      <c r="C6" s="61" t="str">
        <f>'Stavební rozpočet'!C6</f>
        <v xml:space="preserve"> </v>
      </c>
      <c r="D6" s="61"/>
      <c r="E6" s="61" t="s">
        <v>7</v>
      </c>
      <c r="F6" s="61" t="str">
        <f>'Stavební rozpočet'!J6</f>
        <v> </v>
      </c>
      <c r="G6" s="61"/>
      <c r="H6" s="61" t="s">
        <v>3</v>
      </c>
      <c r="I6" s="86"/>
    </row>
    <row r="7" spans="1:9" ht="15" customHeight="1" x14ac:dyDescent="0.2">
      <c r="A7" s="84"/>
      <c r="B7" s="84"/>
      <c r="C7" s="61"/>
      <c r="D7" s="61"/>
      <c r="E7" s="61"/>
      <c r="F7" s="61"/>
      <c r="G7" s="61"/>
      <c r="H7" s="61"/>
      <c r="I7" s="86"/>
    </row>
    <row r="8" spans="1:9" ht="15" customHeight="1" x14ac:dyDescent="0.2">
      <c r="A8" s="84" t="s">
        <v>8</v>
      </c>
      <c r="B8" s="84"/>
      <c r="C8" s="61" t="str">
        <f>'Stavební rozpočet'!F4</f>
        <v>08.07.2025</v>
      </c>
      <c r="D8" s="61"/>
      <c r="E8" s="61" t="s">
        <v>9</v>
      </c>
      <c r="F8" s="61" t="str">
        <f>'Stavební rozpočet'!F6</f>
        <v xml:space="preserve"> </v>
      </c>
      <c r="G8" s="61"/>
      <c r="H8" s="85" t="s">
        <v>10</v>
      </c>
      <c r="I8" s="79">
        <v>35</v>
      </c>
    </row>
    <row r="9" spans="1:9" ht="12.75" x14ac:dyDescent="0.2">
      <c r="A9" s="84"/>
      <c r="B9" s="84"/>
      <c r="C9" s="61"/>
      <c r="D9" s="61"/>
      <c r="E9" s="61"/>
      <c r="F9" s="61"/>
      <c r="G9" s="61"/>
      <c r="H9" s="85"/>
      <c r="I9" s="79"/>
    </row>
    <row r="10" spans="1:9" ht="15" customHeight="1" x14ac:dyDescent="0.2">
      <c r="A10" s="80" t="s">
        <v>11</v>
      </c>
      <c r="B10" s="80"/>
      <c r="C10" s="81" t="str">
        <f>'Stavební rozpočet'!C8</f>
        <v xml:space="preserve"> </v>
      </c>
      <c r="D10" s="81"/>
      <c r="E10" s="81" t="s">
        <v>12</v>
      </c>
      <c r="F10" s="81" t="str">
        <f>'Stavební rozpočet'!J8</f>
        <v> </v>
      </c>
      <c r="G10" s="81"/>
      <c r="H10" s="82" t="s">
        <v>13</v>
      </c>
      <c r="I10" s="83" t="str">
        <f>'Stavební rozpočet'!F8</f>
        <v>08.07.2025</v>
      </c>
    </row>
    <row r="11" spans="1:9" ht="12.75" x14ac:dyDescent="0.2">
      <c r="A11" s="80"/>
      <c r="B11" s="80"/>
      <c r="C11" s="81"/>
      <c r="D11" s="81"/>
      <c r="E11" s="81"/>
      <c r="F11" s="81"/>
      <c r="G11" s="81"/>
      <c r="H11" s="82"/>
      <c r="I11" s="83"/>
    </row>
    <row r="12" spans="1:9" ht="23.25" x14ac:dyDescent="0.2">
      <c r="A12" s="77" t="s">
        <v>14</v>
      </c>
      <c r="B12" s="77"/>
      <c r="C12" s="77"/>
      <c r="D12" s="77"/>
      <c r="E12" s="77"/>
      <c r="F12" s="77"/>
      <c r="G12" s="77"/>
      <c r="H12" s="77"/>
      <c r="I12" s="77"/>
    </row>
    <row r="13" spans="1:9" ht="26.25" customHeight="1" x14ac:dyDescent="0.2">
      <c r="A13" s="5" t="s">
        <v>15</v>
      </c>
      <c r="B13" s="78" t="s">
        <v>16</v>
      </c>
      <c r="C13" s="78"/>
      <c r="D13" s="6" t="s">
        <v>17</v>
      </c>
      <c r="E13" s="78" t="s">
        <v>18</v>
      </c>
      <c r="F13" s="78"/>
      <c r="G13" s="6" t="s">
        <v>19</v>
      </c>
      <c r="H13" s="78" t="s">
        <v>20</v>
      </c>
      <c r="I13" s="78"/>
    </row>
    <row r="14" spans="1:9" ht="15.75" x14ac:dyDescent="0.2">
      <c r="A14" s="7" t="s">
        <v>21</v>
      </c>
      <c r="B14" s="8" t="s">
        <v>22</v>
      </c>
      <c r="C14" s="9">
        <f>SUM('Stavební rozpočet'!AB12:AB200)</f>
        <v>0</v>
      </c>
      <c r="D14" s="76"/>
      <c r="E14" s="76"/>
      <c r="F14" s="9"/>
      <c r="G14" s="76"/>
      <c r="H14" s="76"/>
      <c r="I14" s="9"/>
    </row>
    <row r="15" spans="1:9" ht="15.75" x14ac:dyDescent="0.2">
      <c r="A15" s="10"/>
      <c r="B15" s="8" t="s">
        <v>25</v>
      </c>
      <c r="C15" s="9">
        <f>SUM('Stavební rozpočet'!AC12:AC200)</f>
        <v>0</v>
      </c>
      <c r="D15" s="76"/>
      <c r="E15" s="76"/>
      <c r="F15" s="9"/>
      <c r="G15" s="76"/>
      <c r="H15" s="76"/>
      <c r="I15" s="9"/>
    </row>
    <row r="16" spans="1:9" ht="15.75" x14ac:dyDescent="0.2">
      <c r="A16" s="7" t="s">
        <v>28</v>
      </c>
      <c r="B16" s="8" t="s">
        <v>22</v>
      </c>
      <c r="C16" s="9">
        <f>SUM('Stavební rozpočet'!AD12:AD200)</f>
        <v>0</v>
      </c>
      <c r="D16" s="76"/>
      <c r="E16" s="76"/>
      <c r="F16" s="9"/>
      <c r="G16" s="76"/>
      <c r="H16" s="76"/>
      <c r="I16" s="9"/>
    </row>
    <row r="17" spans="1:9" ht="15.75" x14ac:dyDescent="0.2">
      <c r="A17" s="10"/>
      <c r="B17" s="8" t="s">
        <v>25</v>
      </c>
      <c r="C17" s="9">
        <f>SUM('Stavební rozpočet'!AE12:AE200)</f>
        <v>0</v>
      </c>
      <c r="D17" s="76"/>
      <c r="E17" s="76"/>
      <c r="F17" s="11"/>
      <c r="G17" s="76"/>
      <c r="H17" s="76"/>
      <c r="I17" s="9"/>
    </row>
    <row r="18" spans="1:9" ht="15.75" x14ac:dyDescent="0.2">
      <c r="A18" s="7" t="s">
        <v>32</v>
      </c>
      <c r="B18" s="8" t="s">
        <v>22</v>
      </c>
      <c r="C18" s="9">
        <f>SUM('Stavební rozpočet'!AF12:AF200)</f>
        <v>0</v>
      </c>
      <c r="D18" s="76"/>
      <c r="E18" s="76"/>
      <c r="F18" s="11"/>
      <c r="G18" s="76"/>
      <c r="H18" s="76"/>
      <c r="I18" s="9"/>
    </row>
    <row r="19" spans="1:9" ht="15.75" x14ac:dyDescent="0.2">
      <c r="A19" s="10"/>
      <c r="B19" s="8" t="s">
        <v>25</v>
      </c>
      <c r="C19" s="9">
        <f>SUM('Stavební rozpočet'!AG12:AG200)</f>
        <v>0</v>
      </c>
      <c r="D19" s="76"/>
      <c r="E19" s="76"/>
      <c r="F19" s="11"/>
      <c r="G19" s="76"/>
      <c r="H19" s="76"/>
      <c r="I19" s="9"/>
    </row>
    <row r="20" spans="1:9" ht="15.75" x14ac:dyDescent="0.2">
      <c r="A20" s="69" t="s">
        <v>35</v>
      </c>
      <c r="B20" s="69"/>
      <c r="C20" s="9">
        <f>SUM('Stavební rozpočet'!AH12:AH200)</f>
        <v>0</v>
      </c>
      <c r="D20" s="76"/>
      <c r="E20" s="76"/>
      <c r="F20" s="11"/>
      <c r="G20" s="76"/>
      <c r="H20" s="76"/>
      <c r="I20" s="11"/>
    </row>
    <row r="21" spans="1:9" ht="15.75" x14ac:dyDescent="0.2">
      <c r="A21" s="72" t="s">
        <v>36</v>
      </c>
      <c r="B21" s="72"/>
      <c r="C21" s="12">
        <f>SUM('Stavební rozpočet'!Z12:Z200)</f>
        <v>0</v>
      </c>
      <c r="D21" s="73"/>
      <c r="E21" s="73"/>
      <c r="F21" s="13"/>
      <c r="G21" s="73"/>
      <c r="H21" s="73"/>
      <c r="I21" s="13"/>
    </row>
    <row r="22" spans="1:9" ht="16.5" customHeight="1" x14ac:dyDescent="0.2">
      <c r="A22" s="74" t="s">
        <v>37</v>
      </c>
      <c r="B22" s="74"/>
      <c r="C22" s="14">
        <f>ROUND(SUM(C14:C21),0)</f>
        <v>0</v>
      </c>
      <c r="D22" s="75"/>
      <c r="E22" s="75"/>
      <c r="F22" s="14"/>
      <c r="G22" s="75"/>
      <c r="H22" s="75"/>
      <c r="I22" s="14"/>
    </row>
    <row r="23" spans="1:9" ht="15.75" x14ac:dyDescent="0.25">
      <c r="D23" s="69"/>
      <c r="E23" s="69"/>
      <c r="F23" s="15"/>
      <c r="G23" s="70"/>
      <c r="H23" s="70"/>
      <c r="I23" s="9"/>
    </row>
    <row r="24" spans="1:9" ht="15.75" x14ac:dyDescent="0.25">
      <c r="G24" s="69"/>
      <c r="H24" s="69"/>
      <c r="I24" s="12"/>
    </row>
    <row r="25" spans="1:9" ht="15.75" x14ac:dyDescent="0.25">
      <c r="G25" s="69"/>
      <c r="H25" s="69"/>
      <c r="I25" s="14"/>
    </row>
    <row r="27" spans="1:9" ht="15.75" x14ac:dyDescent="0.25">
      <c r="A27" s="71" t="s">
        <v>38</v>
      </c>
      <c r="B27" s="71"/>
      <c r="C27" s="16">
        <f>ROUND(SUM('Stavební rozpočet'!AJ12:AJ200),0)</f>
        <v>0</v>
      </c>
    </row>
    <row r="28" spans="1:9" ht="15.75" x14ac:dyDescent="0.2">
      <c r="A28" s="66" t="s">
        <v>39</v>
      </c>
      <c r="B28" s="66"/>
      <c r="C28" s="17">
        <f>ROUND(SUM('Stavební rozpočet'!AK12:AK200),0)</f>
        <v>0</v>
      </c>
      <c r="D28" s="67" t="s">
        <v>40</v>
      </c>
      <c r="E28" s="67"/>
      <c r="F28" s="16">
        <f>ROUND(C28*(12/100),2)</f>
        <v>0</v>
      </c>
      <c r="G28" s="67" t="s">
        <v>41</v>
      </c>
      <c r="H28" s="67"/>
      <c r="I28" s="16">
        <f>ROUND(SUM(C27:C29),0)</f>
        <v>0</v>
      </c>
    </row>
    <row r="29" spans="1:9" ht="15.75" x14ac:dyDescent="0.2">
      <c r="A29" s="66" t="s">
        <v>42</v>
      </c>
      <c r="B29" s="66"/>
      <c r="C29" s="17">
        <f>ROUND(SUM('Stavební rozpočet'!AL12:AL200)+(F22+I22+F23+I23+I24+I25),0)</f>
        <v>0</v>
      </c>
      <c r="D29" s="68" t="s">
        <v>43</v>
      </c>
      <c r="E29" s="68"/>
      <c r="F29" s="17">
        <f>ROUND(C29*(21/100),2)</f>
        <v>0</v>
      </c>
      <c r="G29" s="68" t="s">
        <v>44</v>
      </c>
      <c r="H29" s="68"/>
      <c r="I29" s="17">
        <f>ROUND(SUM(F28:F29)+I28,0)</f>
        <v>0</v>
      </c>
    </row>
    <row r="31" spans="1:9" x14ac:dyDescent="0.2">
      <c r="A31" s="64" t="s">
        <v>45</v>
      </c>
      <c r="B31" s="64"/>
      <c r="C31" s="64"/>
      <c r="D31" s="65" t="s">
        <v>46</v>
      </c>
      <c r="E31" s="65"/>
      <c r="F31" s="65"/>
      <c r="G31" s="65" t="s">
        <v>47</v>
      </c>
      <c r="H31" s="65"/>
      <c r="I31" s="65"/>
    </row>
    <row r="32" spans="1:9" x14ac:dyDescent="0.2">
      <c r="A32" s="62"/>
      <c r="B32" s="62"/>
      <c r="C32" s="62"/>
      <c r="D32" s="63"/>
      <c r="E32" s="63"/>
      <c r="F32" s="63"/>
      <c r="G32" s="63"/>
      <c r="H32" s="63"/>
      <c r="I32" s="63"/>
    </row>
    <row r="33" spans="1:9" x14ac:dyDescent="0.2">
      <c r="A33" s="62"/>
      <c r="B33" s="62"/>
      <c r="C33" s="62"/>
      <c r="D33" s="63"/>
      <c r="E33" s="63"/>
      <c r="F33" s="63"/>
      <c r="G33" s="63"/>
      <c r="H33" s="63"/>
      <c r="I33" s="63"/>
    </row>
    <row r="34" spans="1:9" x14ac:dyDescent="0.2">
      <c r="A34" s="62"/>
      <c r="B34" s="62"/>
      <c r="C34" s="62"/>
      <c r="D34" s="63"/>
      <c r="E34" s="63"/>
      <c r="F34" s="63"/>
      <c r="G34" s="63"/>
      <c r="H34" s="63"/>
      <c r="I34" s="63"/>
    </row>
    <row r="35" spans="1:9" x14ac:dyDescent="0.2">
      <c r="A35" s="59" t="s">
        <v>48</v>
      </c>
      <c r="B35" s="59"/>
      <c r="C35" s="59"/>
      <c r="D35" s="60" t="s">
        <v>48</v>
      </c>
      <c r="E35" s="60"/>
      <c r="F35" s="60"/>
      <c r="G35" s="60" t="s">
        <v>48</v>
      </c>
      <c r="H35" s="60"/>
      <c r="I35" s="60"/>
    </row>
    <row r="36" spans="1:9" x14ac:dyDescent="0.25">
      <c r="A36" s="18" t="s">
        <v>49</v>
      </c>
    </row>
    <row r="37" spans="1:9" ht="12.75" customHeight="1" x14ac:dyDescent="0.2">
      <c r="A37" s="61"/>
      <c r="B37" s="61"/>
      <c r="C37" s="61"/>
      <c r="D37" s="61"/>
      <c r="E37" s="61"/>
      <c r="F37" s="61"/>
      <c r="G37" s="61"/>
      <c r="H37" s="61"/>
      <c r="I37" s="61"/>
    </row>
  </sheetData>
  <mergeCells count="83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</mergeCells>
  <pageMargins left="0.39374999999999999" right="0.39374999999999999" top="0.59097222222222201" bottom="0.59097222222222201" header="0.511811023622047" footer="0.511811023622047"/>
  <pageSetup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 customHeight="1" x14ac:dyDescent="0.25"/>
  <cols>
    <col min="1" max="1" width="9.140625" style="4" customWidth="1"/>
    <col min="2" max="2" width="12.85546875" style="4" customWidth="1"/>
    <col min="3" max="3" width="22.85546875" style="4" customWidth="1"/>
    <col min="4" max="4" width="10" style="4" customWidth="1"/>
    <col min="5" max="5" width="14" style="4" customWidth="1"/>
    <col min="6" max="6" width="22.85546875" style="4" customWidth="1"/>
    <col min="7" max="7" width="9.140625" style="4" customWidth="1"/>
    <col min="8" max="8" width="17.140625" style="4" customWidth="1"/>
    <col min="9" max="9" width="22.85546875" style="4" customWidth="1"/>
  </cols>
  <sheetData>
    <row r="1" spans="1:9" ht="54.75" customHeight="1" x14ac:dyDescent="0.2">
      <c r="A1" s="87" t="s">
        <v>50</v>
      </c>
      <c r="B1" s="87"/>
      <c r="C1" s="87"/>
      <c r="D1" s="87"/>
      <c r="E1" s="87"/>
      <c r="F1" s="87"/>
      <c r="G1" s="87"/>
      <c r="H1" s="87"/>
      <c r="I1" s="87"/>
    </row>
    <row r="2" spans="1:9" ht="15" customHeight="1" x14ac:dyDescent="0.2">
      <c r="A2" s="88" t="s">
        <v>1</v>
      </c>
      <c r="B2" s="88"/>
      <c r="C2" s="89" t="str">
        <f>'Stavební rozpočet'!C2</f>
        <v>LITOMYŠL - VODNÍ VALY, 3. etapa regenerace nábřeží Loučné, část A</v>
      </c>
      <c r="D2" s="89"/>
      <c r="E2" s="90" t="s">
        <v>2</v>
      </c>
      <c r="F2" s="90" t="str">
        <f>'Stavební rozpočet'!J2</f>
        <v> </v>
      </c>
      <c r="G2" s="90"/>
      <c r="H2" s="90" t="s">
        <v>3</v>
      </c>
      <c r="I2" s="91"/>
    </row>
    <row r="3" spans="1:9" ht="66" customHeight="1" x14ac:dyDescent="0.2">
      <c r="A3" s="88"/>
      <c r="B3" s="88"/>
      <c r="C3" s="89"/>
      <c r="D3" s="89"/>
      <c r="E3" s="90"/>
      <c r="F3" s="90"/>
      <c r="G3" s="90"/>
      <c r="H3" s="90"/>
      <c r="I3" s="91"/>
    </row>
    <row r="4" spans="1:9" ht="15" customHeight="1" x14ac:dyDescent="0.2">
      <c r="A4" s="84" t="s">
        <v>4</v>
      </c>
      <c r="B4" s="84"/>
      <c r="C4" s="61" t="str">
        <f>'Stavební rozpočet'!C4</f>
        <v>SO 07 DEŠŤOVÁ KANALIZACE A PŘÍPOJKA VODOVODU K MĚSTSKÉMU DVORKU</v>
      </c>
      <c r="D4" s="61"/>
      <c r="E4" s="61" t="s">
        <v>5</v>
      </c>
      <c r="F4" s="61" t="str">
        <f>'Stavební rozpočet'!J4</f>
        <v> </v>
      </c>
      <c r="G4" s="61"/>
      <c r="H4" s="61" t="s">
        <v>3</v>
      </c>
      <c r="I4" s="86"/>
    </row>
    <row r="5" spans="1:9" ht="66" customHeight="1" x14ac:dyDescent="0.2">
      <c r="A5" s="84"/>
      <c r="B5" s="84"/>
      <c r="C5" s="61"/>
      <c r="D5" s="61"/>
      <c r="E5" s="61"/>
      <c r="F5" s="61"/>
      <c r="G5" s="61"/>
      <c r="H5" s="61"/>
      <c r="I5" s="86"/>
    </row>
    <row r="6" spans="1:9" ht="15" customHeight="1" x14ac:dyDescent="0.2">
      <c r="A6" s="84" t="s">
        <v>6</v>
      </c>
      <c r="B6" s="84"/>
      <c r="C6" s="61" t="str">
        <f>'Stavební rozpočet'!C6</f>
        <v xml:space="preserve"> </v>
      </c>
      <c r="D6" s="61"/>
      <c r="E6" s="61" t="s">
        <v>7</v>
      </c>
      <c r="F6" s="61" t="str">
        <f>'Stavební rozpočet'!J6</f>
        <v> </v>
      </c>
      <c r="G6" s="61"/>
      <c r="H6" s="61" t="s">
        <v>3</v>
      </c>
      <c r="I6" s="86"/>
    </row>
    <row r="7" spans="1:9" ht="15" customHeight="1" x14ac:dyDescent="0.2">
      <c r="A7" s="84"/>
      <c r="B7" s="84"/>
      <c r="C7" s="61"/>
      <c r="D7" s="61"/>
      <c r="E7" s="61"/>
      <c r="F7" s="61"/>
      <c r="G7" s="61"/>
      <c r="H7" s="61"/>
      <c r="I7" s="86"/>
    </row>
    <row r="8" spans="1:9" ht="15" customHeight="1" x14ac:dyDescent="0.2">
      <c r="A8" s="84" t="s">
        <v>8</v>
      </c>
      <c r="B8" s="84"/>
      <c r="C8" s="61" t="str">
        <f>'Stavební rozpočet'!F4</f>
        <v>08.07.2025</v>
      </c>
      <c r="D8" s="61"/>
      <c r="E8" s="61" t="s">
        <v>9</v>
      </c>
      <c r="F8" s="61" t="str">
        <f>'Stavební rozpočet'!F6</f>
        <v xml:space="preserve"> </v>
      </c>
      <c r="G8" s="61"/>
      <c r="H8" s="85" t="s">
        <v>10</v>
      </c>
      <c r="I8" s="79">
        <v>35</v>
      </c>
    </row>
    <row r="9" spans="1:9" ht="12.75" x14ac:dyDescent="0.2">
      <c r="A9" s="84"/>
      <c r="B9" s="84"/>
      <c r="C9" s="61"/>
      <c r="D9" s="61"/>
      <c r="E9" s="61"/>
      <c r="F9" s="61"/>
      <c r="G9" s="61"/>
      <c r="H9" s="85"/>
      <c r="I9" s="79"/>
    </row>
    <row r="10" spans="1:9" ht="15" customHeight="1" x14ac:dyDescent="0.2">
      <c r="A10" s="80" t="s">
        <v>11</v>
      </c>
      <c r="B10" s="80"/>
      <c r="C10" s="81" t="str">
        <f>'Stavební rozpočet'!C8</f>
        <v xml:space="preserve"> </v>
      </c>
      <c r="D10" s="81"/>
      <c r="E10" s="81" t="s">
        <v>12</v>
      </c>
      <c r="F10" s="81" t="str">
        <f>'Stavební rozpočet'!J8</f>
        <v> </v>
      </c>
      <c r="G10" s="81"/>
      <c r="H10" s="82" t="s">
        <v>13</v>
      </c>
      <c r="I10" s="83" t="str">
        <f>'Stavební rozpočet'!F8</f>
        <v>08.07.2025</v>
      </c>
    </row>
    <row r="11" spans="1:9" ht="12.75" x14ac:dyDescent="0.2">
      <c r="A11" s="80"/>
      <c r="B11" s="80"/>
      <c r="C11" s="81"/>
      <c r="D11" s="81"/>
      <c r="E11" s="81"/>
      <c r="F11" s="81"/>
      <c r="G11" s="81"/>
      <c r="H11" s="82"/>
      <c r="I11" s="83"/>
    </row>
    <row r="13" spans="1:9" ht="15.75" x14ac:dyDescent="0.25">
      <c r="A13" s="93" t="s">
        <v>51</v>
      </c>
      <c r="B13" s="93"/>
      <c r="C13" s="93"/>
      <c r="D13" s="93"/>
      <c r="E13" s="93"/>
    </row>
    <row r="14" spans="1:9" ht="12.75" x14ac:dyDescent="0.2">
      <c r="A14" s="94" t="s">
        <v>52</v>
      </c>
      <c r="B14" s="94"/>
      <c r="C14" s="94"/>
      <c r="D14" s="94"/>
      <c r="E14" s="94"/>
      <c r="F14" s="19" t="s">
        <v>53</v>
      </c>
      <c r="G14" s="19" t="s">
        <v>54</v>
      </c>
      <c r="H14" s="19" t="s">
        <v>55</v>
      </c>
      <c r="I14" s="19" t="s">
        <v>53</v>
      </c>
    </row>
    <row r="15" spans="1:9" ht="12.75" x14ac:dyDescent="0.2">
      <c r="A15" s="97" t="s">
        <v>23</v>
      </c>
      <c r="B15" s="97"/>
      <c r="C15" s="97"/>
      <c r="D15" s="97"/>
      <c r="E15" s="97"/>
      <c r="F15" s="20">
        <v>0</v>
      </c>
      <c r="G15" s="21"/>
      <c r="H15" s="21"/>
      <c r="I15" s="20">
        <f>F15</f>
        <v>0</v>
      </c>
    </row>
    <row r="16" spans="1:9" ht="12.75" x14ac:dyDescent="0.2">
      <c r="A16" s="97" t="s">
        <v>26</v>
      </c>
      <c r="B16" s="97"/>
      <c r="C16" s="97"/>
      <c r="D16" s="97"/>
      <c r="E16" s="97"/>
      <c r="F16" s="20">
        <v>0</v>
      </c>
      <c r="G16" s="21"/>
      <c r="H16" s="21"/>
      <c r="I16" s="20">
        <f>F16</f>
        <v>0</v>
      </c>
    </row>
    <row r="17" spans="1:9" ht="12.75" x14ac:dyDescent="0.2">
      <c r="A17" s="95" t="s">
        <v>29</v>
      </c>
      <c r="B17" s="95"/>
      <c r="C17" s="95"/>
      <c r="D17" s="95"/>
      <c r="E17" s="95"/>
      <c r="F17" s="22">
        <v>0</v>
      </c>
      <c r="G17" s="2"/>
      <c r="H17" s="2"/>
      <c r="I17" s="22">
        <f>F17</f>
        <v>0</v>
      </c>
    </row>
    <row r="18" spans="1:9" ht="12.75" x14ac:dyDescent="0.2">
      <c r="A18" s="96" t="s">
        <v>56</v>
      </c>
      <c r="B18" s="96"/>
      <c r="C18" s="96"/>
      <c r="D18" s="96"/>
      <c r="E18" s="96"/>
      <c r="F18" s="23"/>
      <c r="G18" s="24"/>
      <c r="H18" s="24"/>
      <c r="I18" s="25">
        <f>SUM(I15:I17)</f>
        <v>0</v>
      </c>
    </row>
    <row r="20" spans="1:9" ht="12.75" x14ac:dyDescent="0.2">
      <c r="A20" s="94" t="s">
        <v>20</v>
      </c>
      <c r="B20" s="94"/>
      <c r="C20" s="94"/>
      <c r="D20" s="94"/>
      <c r="E20" s="94"/>
      <c r="F20" s="19" t="s">
        <v>53</v>
      </c>
      <c r="G20" s="19" t="s">
        <v>54</v>
      </c>
      <c r="H20" s="19" t="s">
        <v>55</v>
      </c>
      <c r="I20" s="19" t="s">
        <v>53</v>
      </c>
    </row>
    <row r="21" spans="1:9" ht="12.75" x14ac:dyDescent="0.2">
      <c r="A21" s="97" t="s">
        <v>24</v>
      </c>
      <c r="B21" s="97"/>
      <c r="C21" s="97"/>
      <c r="D21" s="97"/>
      <c r="E21" s="97"/>
      <c r="F21" s="20">
        <v>0</v>
      </c>
      <c r="G21" s="21"/>
      <c r="H21" s="21"/>
      <c r="I21" s="20">
        <f t="shared" ref="I21:I26" si="0">F21</f>
        <v>0</v>
      </c>
    </row>
    <row r="22" spans="1:9" ht="12.75" x14ac:dyDescent="0.2">
      <c r="A22" s="97" t="s">
        <v>27</v>
      </c>
      <c r="B22" s="97"/>
      <c r="C22" s="97"/>
      <c r="D22" s="97"/>
      <c r="E22" s="97"/>
      <c r="F22" s="20">
        <v>0</v>
      </c>
      <c r="G22" s="21"/>
      <c r="H22" s="21"/>
      <c r="I22" s="20">
        <f t="shared" si="0"/>
        <v>0</v>
      </c>
    </row>
    <row r="23" spans="1:9" ht="12.75" x14ac:dyDescent="0.2">
      <c r="A23" s="97" t="s">
        <v>30</v>
      </c>
      <c r="B23" s="97"/>
      <c r="C23" s="97"/>
      <c r="D23" s="97"/>
      <c r="E23" s="97"/>
      <c r="F23" s="20">
        <v>0</v>
      </c>
      <c r="G23" s="21"/>
      <c r="H23" s="21"/>
      <c r="I23" s="20">
        <f t="shared" si="0"/>
        <v>0</v>
      </c>
    </row>
    <row r="24" spans="1:9" ht="12.75" x14ac:dyDescent="0.2">
      <c r="A24" s="97" t="s">
        <v>31</v>
      </c>
      <c r="B24" s="97"/>
      <c r="C24" s="97"/>
      <c r="D24" s="97"/>
      <c r="E24" s="97"/>
      <c r="F24" s="20">
        <v>0</v>
      </c>
      <c r="G24" s="21"/>
      <c r="H24" s="21"/>
      <c r="I24" s="20">
        <f t="shared" si="0"/>
        <v>0</v>
      </c>
    </row>
    <row r="25" spans="1:9" ht="12.75" x14ac:dyDescent="0.2">
      <c r="A25" s="97" t="s">
        <v>33</v>
      </c>
      <c r="B25" s="97"/>
      <c r="C25" s="97"/>
      <c r="D25" s="97"/>
      <c r="E25" s="97"/>
      <c r="F25" s="20">
        <v>0</v>
      </c>
      <c r="G25" s="21"/>
      <c r="H25" s="21"/>
      <c r="I25" s="20">
        <f t="shared" si="0"/>
        <v>0</v>
      </c>
    </row>
    <row r="26" spans="1:9" ht="12.75" x14ac:dyDescent="0.2">
      <c r="A26" s="95" t="s">
        <v>34</v>
      </c>
      <c r="B26" s="95"/>
      <c r="C26" s="95"/>
      <c r="D26" s="95"/>
      <c r="E26" s="95"/>
      <c r="F26" s="22">
        <v>0</v>
      </c>
      <c r="G26" s="2"/>
      <c r="H26" s="2"/>
      <c r="I26" s="22">
        <f t="shared" si="0"/>
        <v>0</v>
      </c>
    </row>
    <row r="27" spans="1:9" ht="12.75" x14ac:dyDescent="0.2">
      <c r="A27" s="96" t="s">
        <v>57</v>
      </c>
      <c r="B27" s="96"/>
      <c r="C27" s="96"/>
      <c r="D27" s="96"/>
      <c r="E27" s="96"/>
      <c r="F27" s="23"/>
      <c r="G27" s="24"/>
      <c r="H27" s="24"/>
      <c r="I27" s="25">
        <f>SUM(I21:I26)</f>
        <v>0</v>
      </c>
    </row>
    <row r="29" spans="1:9" ht="15.75" x14ac:dyDescent="0.2">
      <c r="A29" s="98" t="s">
        <v>58</v>
      </c>
      <c r="B29" s="98"/>
      <c r="C29" s="98"/>
      <c r="D29" s="98"/>
      <c r="E29" s="98"/>
      <c r="F29" s="92">
        <f>I18+I27</f>
        <v>0</v>
      </c>
      <c r="G29" s="92"/>
      <c r="H29" s="92"/>
      <c r="I29" s="92"/>
    </row>
    <row r="33" spans="1:9" ht="15.75" x14ac:dyDescent="0.25">
      <c r="A33" s="93" t="s">
        <v>59</v>
      </c>
      <c r="B33" s="93"/>
      <c r="C33" s="93"/>
      <c r="D33" s="93"/>
      <c r="E33" s="93"/>
    </row>
    <row r="34" spans="1:9" ht="12.75" x14ac:dyDescent="0.2">
      <c r="A34" s="94" t="s">
        <v>60</v>
      </c>
      <c r="B34" s="94"/>
      <c r="C34" s="94"/>
      <c r="D34" s="94"/>
      <c r="E34" s="94"/>
      <c r="F34" s="19" t="s">
        <v>53</v>
      </c>
      <c r="G34" s="19" t="s">
        <v>54</v>
      </c>
      <c r="H34" s="19" t="s">
        <v>55</v>
      </c>
      <c r="I34" s="19" t="s">
        <v>53</v>
      </c>
    </row>
    <row r="35" spans="1:9" ht="12.75" x14ac:dyDescent="0.2">
      <c r="A35" s="95"/>
      <c r="B35" s="95"/>
      <c r="C35" s="95"/>
      <c r="D35" s="95"/>
      <c r="E35" s="95"/>
      <c r="F35" s="22">
        <v>0</v>
      </c>
      <c r="G35" s="2"/>
      <c r="H35" s="2"/>
      <c r="I35" s="22">
        <f>F35</f>
        <v>0</v>
      </c>
    </row>
    <row r="36" spans="1:9" ht="12.75" x14ac:dyDescent="0.2">
      <c r="A36" s="96" t="s">
        <v>61</v>
      </c>
      <c r="B36" s="96"/>
      <c r="C36" s="96"/>
      <c r="D36" s="96"/>
      <c r="E36" s="96"/>
      <c r="F36" s="23"/>
      <c r="G36" s="24"/>
      <c r="H36" s="24"/>
      <c r="I36" s="25">
        <f>SUM(I35)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74999999999999" right="0.39374999999999999" top="0.59097222222222201" bottom="0.59097222222222201" header="0.511811023622047" footer="0.511811023622047"/>
  <pageSetup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Z103"/>
  <sheetViews>
    <sheetView tabSelected="1" zoomScaleNormal="100" workbookViewId="0">
      <pane ySplit="11" topLeftCell="A12" activePane="bottomLeft" state="frozen"/>
      <selection pane="bottomLeft" activeCell="P15" sqref="P15"/>
    </sheetView>
  </sheetViews>
  <sheetFormatPr defaultColWidth="12.140625" defaultRowHeight="15" customHeight="1" x14ac:dyDescent="0.25"/>
  <cols>
    <col min="1" max="1" width="3.140625" style="4" customWidth="1"/>
    <col min="2" max="2" width="14.42578125" style="4" customWidth="1"/>
    <col min="3" max="3" width="17.85546875" style="4" customWidth="1"/>
    <col min="4" max="4" width="42.85546875" style="4" customWidth="1"/>
    <col min="5" max="5" width="35.7109375" style="4" customWidth="1"/>
    <col min="6" max="6" width="7" style="4" customWidth="1"/>
    <col min="7" max="7" width="12.85546875" style="4" customWidth="1"/>
    <col min="8" max="8" width="12" style="4" customWidth="1"/>
    <col min="9" max="9" width="15.7109375" style="4" customWidth="1"/>
    <col min="10" max="11" width="11.7109375" style="4" customWidth="1"/>
    <col min="12" max="12" width="22.85546875" style="4" customWidth="1"/>
    <col min="25" max="75" width="12.140625" style="4" hidden="1"/>
    <col min="76" max="76" width="78.5703125" style="4" hidden="1" customWidth="1"/>
    <col min="77" max="78" width="12.140625" style="4" hidden="1"/>
  </cols>
  <sheetData>
    <row r="1" spans="1:76" ht="54.75" customHeight="1" x14ac:dyDescent="0.25">
      <c r="A1" s="104" t="s">
        <v>62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AS1" s="26">
        <f>SUM(AJ1:AJ2)</f>
        <v>0</v>
      </c>
      <c r="AT1" s="26">
        <f>SUM(AK1:AK2)</f>
        <v>0</v>
      </c>
      <c r="AU1" s="26">
        <f>SUM(AL1:AL2)</f>
        <v>0</v>
      </c>
    </row>
    <row r="2" spans="1:76" ht="15" customHeight="1" x14ac:dyDescent="0.25">
      <c r="A2" s="88" t="s">
        <v>1</v>
      </c>
      <c r="B2" s="88"/>
      <c r="C2" s="89" t="s">
        <v>273</v>
      </c>
      <c r="D2" s="89"/>
      <c r="E2" s="105" t="s">
        <v>63</v>
      </c>
      <c r="F2" s="105" t="s">
        <v>64</v>
      </c>
      <c r="G2" s="105"/>
      <c r="H2" s="90" t="s">
        <v>2</v>
      </c>
      <c r="I2" s="90"/>
      <c r="J2" s="91" t="s">
        <v>65</v>
      </c>
      <c r="K2" s="91"/>
      <c r="L2" s="91"/>
    </row>
    <row r="3" spans="1:76" x14ac:dyDescent="0.25">
      <c r="A3" s="88"/>
      <c r="B3" s="88"/>
      <c r="C3" s="89"/>
      <c r="D3" s="89"/>
      <c r="E3" s="105"/>
      <c r="F3" s="105"/>
      <c r="G3" s="105"/>
      <c r="H3" s="90"/>
      <c r="I3" s="90"/>
      <c r="J3" s="91"/>
      <c r="K3" s="91"/>
      <c r="L3" s="91"/>
    </row>
    <row r="4" spans="1:76" ht="15" customHeight="1" x14ac:dyDescent="0.25">
      <c r="A4" s="84" t="s">
        <v>4</v>
      </c>
      <c r="B4" s="84"/>
      <c r="C4" s="61" t="s">
        <v>274</v>
      </c>
      <c r="D4" s="61"/>
      <c r="E4" s="85" t="s">
        <v>8</v>
      </c>
      <c r="F4" s="85" t="s">
        <v>66</v>
      </c>
      <c r="G4" s="85"/>
      <c r="H4" s="61" t="s">
        <v>5</v>
      </c>
      <c r="I4" s="61"/>
      <c r="J4" s="86" t="s">
        <v>65</v>
      </c>
      <c r="K4" s="86"/>
      <c r="L4" s="86"/>
    </row>
    <row r="5" spans="1:76" x14ac:dyDescent="0.25">
      <c r="A5" s="84"/>
      <c r="B5" s="84"/>
      <c r="C5" s="61"/>
      <c r="D5" s="61"/>
      <c r="E5" s="85"/>
      <c r="F5" s="85"/>
      <c r="G5" s="85"/>
      <c r="H5" s="61"/>
      <c r="I5" s="61"/>
      <c r="J5" s="86"/>
      <c r="K5" s="86"/>
      <c r="L5" s="86"/>
    </row>
    <row r="6" spans="1:76" ht="15" customHeight="1" x14ac:dyDescent="0.25">
      <c r="A6" s="84" t="s">
        <v>6</v>
      </c>
      <c r="B6" s="84"/>
      <c r="C6" s="61" t="s">
        <v>64</v>
      </c>
      <c r="D6" s="61"/>
      <c r="E6" s="85" t="s">
        <v>9</v>
      </c>
      <c r="F6" s="85" t="s">
        <v>64</v>
      </c>
      <c r="G6" s="85"/>
      <c r="H6" s="61" t="s">
        <v>7</v>
      </c>
      <c r="I6" s="61"/>
      <c r="J6" s="86" t="s">
        <v>65</v>
      </c>
      <c r="K6" s="86"/>
      <c r="L6" s="86"/>
    </row>
    <row r="7" spans="1:76" x14ac:dyDescent="0.25">
      <c r="A7" s="84"/>
      <c r="B7" s="84"/>
      <c r="C7" s="61"/>
      <c r="D7" s="61"/>
      <c r="E7" s="85"/>
      <c r="F7" s="85"/>
      <c r="G7" s="85"/>
      <c r="H7" s="61"/>
      <c r="I7" s="61"/>
      <c r="J7" s="86"/>
      <c r="K7" s="86"/>
      <c r="L7" s="86"/>
    </row>
    <row r="8" spans="1:76" ht="15" customHeight="1" x14ac:dyDescent="0.25">
      <c r="A8" s="84" t="s">
        <v>11</v>
      </c>
      <c r="B8" s="84"/>
      <c r="C8" s="61" t="s">
        <v>64</v>
      </c>
      <c r="D8" s="61"/>
      <c r="E8" s="85" t="s">
        <v>67</v>
      </c>
      <c r="F8" s="85" t="s">
        <v>66</v>
      </c>
      <c r="G8" s="85"/>
      <c r="H8" s="61" t="s">
        <v>12</v>
      </c>
      <c r="I8" s="61"/>
      <c r="J8" s="86" t="s">
        <v>65</v>
      </c>
      <c r="K8" s="86"/>
      <c r="L8" s="86"/>
    </row>
    <row r="9" spans="1:76" x14ac:dyDescent="0.25">
      <c r="A9" s="84"/>
      <c r="B9" s="84"/>
      <c r="C9" s="61"/>
      <c r="D9" s="61"/>
      <c r="E9" s="85"/>
      <c r="F9" s="85"/>
      <c r="G9" s="85"/>
      <c r="H9" s="61"/>
      <c r="I9" s="61"/>
      <c r="J9" s="86"/>
      <c r="K9" s="86"/>
      <c r="L9" s="86"/>
    </row>
    <row r="10" spans="1:76" x14ac:dyDescent="0.25">
      <c r="A10" s="27" t="s">
        <v>68</v>
      </c>
      <c r="B10" s="28" t="s">
        <v>69</v>
      </c>
      <c r="C10" s="28" t="s">
        <v>70</v>
      </c>
      <c r="D10" s="101" t="s">
        <v>71</v>
      </c>
      <c r="E10" s="101"/>
      <c r="F10" s="28" t="s">
        <v>72</v>
      </c>
      <c r="G10" s="29" t="s">
        <v>73</v>
      </c>
      <c r="H10" s="30" t="s">
        <v>74</v>
      </c>
      <c r="I10" s="31" t="s">
        <v>75</v>
      </c>
      <c r="J10" s="102" t="s">
        <v>76</v>
      </c>
      <c r="K10" s="102"/>
      <c r="L10" s="32" t="s">
        <v>77</v>
      </c>
      <c r="BK10" s="33" t="s">
        <v>78</v>
      </c>
      <c r="BL10" s="34" t="s">
        <v>79</v>
      </c>
      <c r="BW10" s="34" t="s">
        <v>80</v>
      </c>
    </row>
    <row r="11" spans="1:76" x14ac:dyDescent="0.25">
      <c r="A11" s="35" t="s">
        <v>64</v>
      </c>
      <c r="B11" s="36" t="s">
        <v>64</v>
      </c>
      <c r="C11" s="36" t="s">
        <v>64</v>
      </c>
      <c r="D11" s="103" t="s">
        <v>81</v>
      </c>
      <c r="E11" s="103"/>
      <c r="F11" s="36" t="s">
        <v>64</v>
      </c>
      <c r="G11" s="36" t="s">
        <v>64</v>
      </c>
      <c r="H11" s="37" t="s">
        <v>82</v>
      </c>
      <c r="I11" s="38" t="s">
        <v>83</v>
      </c>
      <c r="J11" s="37" t="s">
        <v>84</v>
      </c>
      <c r="K11" s="39" t="s">
        <v>85</v>
      </c>
      <c r="L11" s="40" t="s">
        <v>86</v>
      </c>
      <c r="Z11" s="33" t="s">
        <v>87</v>
      </c>
      <c r="AA11" s="33" t="s">
        <v>88</v>
      </c>
      <c r="AB11" s="33" t="s">
        <v>89</v>
      </c>
      <c r="AC11" s="33" t="s">
        <v>90</v>
      </c>
      <c r="AD11" s="33" t="s">
        <v>91</v>
      </c>
      <c r="AE11" s="33" t="s">
        <v>92</v>
      </c>
      <c r="AF11" s="33" t="s">
        <v>93</v>
      </c>
      <c r="AG11" s="33" t="s">
        <v>94</v>
      </c>
      <c r="AH11" s="33" t="s">
        <v>95</v>
      </c>
      <c r="BH11" s="33" t="s">
        <v>96</v>
      </c>
      <c r="BI11" s="33" t="s">
        <v>97</v>
      </c>
      <c r="BJ11" s="33" t="s">
        <v>98</v>
      </c>
    </row>
    <row r="12" spans="1:76" ht="15" customHeight="1" x14ac:dyDescent="0.25">
      <c r="A12" s="41"/>
      <c r="B12" s="42" t="s">
        <v>99</v>
      </c>
      <c r="C12" s="42"/>
      <c r="D12" s="99" t="s">
        <v>100</v>
      </c>
      <c r="E12" s="99"/>
      <c r="F12" s="43" t="s">
        <v>64</v>
      </c>
      <c r="G12" s="43" t="s">
        <v>64</v>
      </c>
      <c r="H12" s="43" t="s">
        <v>64</v>
      </c>
      <c r="I12" s="26">
        <f>I13+I19+I24+I29+I39+I42+I46+I51+I62+I90+I94+I97</f>
        <v>0</v>
      </c>
      <c r="J12" s="33"/>
      <c r="K12" s="33"/>
      <c r="L12" s="44"/>
    </row>
    <row r="13" spans="1:76" ht="15" customHeight="1" x14ac:dyDescent="0.25">
      <c r="A13" s="41"/>
      <c r="B13" s="42" t="s">
        <v>99</v>
      </c>
      <c r="C13" s="42" t="s">
        <v>101</v>
      </c>
      <c r="D13" s="99" t="s">
        <v>102</v>
      </c>
      <c r="E13" s="99"/>
      <c r="F13" s="43" t="s">
        <v>64</v>
      </c>
      <c r="G13" s="43" t="s">
        <v>64</v>
      </c>
      <c r="H13" s="43" t="s">
        <v>64</v>
      </c>
      <c r="I13" s="26">
        <f>SUM(I14:I17)</f>
        <v>0</v>
      </c>
      <c r="J13" s="33"/>
      <c r="K13" s="33"/>
      <c r="L13" s="44"/>
      <c r="AI13" s="33" t="s">
        <v>99</v>
      </c>
      <c r="AS13" s="26">
        <f>SUM(AJ14:AJ17)</f>
        <v>0</v>
      </c>
      <c r="AT13" s="26">
        <f>SUM(AK14:AK17)</f>
        <v>0</v>
      </c>
      <c r="AU13" s="26">
        <f>SUM(AL14:AL17)</f>
        <v>0</v>
      </c>
    </row>
    <row r="14" spans="1:76" ht="15" customHeight="1" x14ac:dyDescent="0.25">
      <c r="A14" s="45" t="s">
        <v>103</v>
      </c>
      <c r="B14" s="1" t="s">
        <v>99</v>
      </c>
      <c r="C14" s="1" t="s">
        <v>104</v>
      </c>
      <c r="D14" s="61" t="s">
        <v>105</v>
      </c>
      <c r="E14" s="61"/>
      <c r="F14" s="1" t="s">
        <v>106</v>
      </c>
      <c r="G14" s="46">
        <v>51.375</v>
      </c>
      <c r="H14" s="46">
        <v>0</v>
      </c>
      <c r="I14" s="46">
        <f>ROUND(G14*H14,2)</f>
        <v>0</v>
      </c>
      <c r="J14" s="46">
        <v>0</v>
      </c>
      <c r="K14" s="46">
        <v>0</v>
      </c>
      <c r="L14" s="47" t="s">
        <v>107</v>
      </c>
      <c r="Z14" s="46">
        <f>ROUND(IF(AQ14="5",BJ14,0),2)</f>
        <v>0</v>
      </c>
      <c r="AB14" s="46">
        <f>ROUND(IF(AQ14="1",BH14,0),2)</f>
        <v>0</v>
      </c>
      <c r="AC14" s="46">
        <f>ROUND(IF(AQ14="1",BI14,0),2)</f>
        <v>0</v>
      </c>
      <c r="AD14" s="46">
        <f>ROUND(IF(AQ14="7",BH14,0),2)</f>
        <v>0</v>
      </c>
      <c r="AE14" s="46">
        <f>ROUND(IF(AQ14="7",BI14,0),2)</f>
        <v>0</v>
      </c>
      <c r="AF14" s="46">
        <f>ROUND(IF(AQ14="2",BH14,0),2)</f>
        <v>0</v>
      </c>
      <c r="AG14" s="46">
        <f>ROUND(IF(AQ14="2",BI14,0),2)</f>
        <v>0</v>
      </c>
      <c r="AH14" s="46">
        <f>ROUND(IF(AQ14="0",BJ14,0),2)</f>
        <v>0</v>
      </c>
      <c r="AI14" s="33" t="s">
        <v>99</v>
      </c>
      <c r="AJ14" s="46">
        <f>IF(AN14=0,I14,0)</f>
        <v>0</v>
      </c>
      <c r="AK14" s="46">
        <f>IF(AN14=12,I14,0)</f>
        <v>0</v>
      </c>
      <c r="AL14" s="46">
        <f>IF(AN14=21,I14,0)</f>
        <v>0</v>
      </c>
      <c r="AN14" s="46">
        <v>21</v>
      </c>
      <c r="AO14" s="46">
        <f>H14*0</f>
        <v>0</v>
      </c>
      <c r="AP14" s="46">
        <f>H14*(1-0)</f>
        <v>0</v>
      </c>
      <c r="AQ14" s="48" t="s">
        <v>103</v>
      </c>
      <c r="AV14" s="46">
        <f>ROUND(AW14+AX14,2)</f>
        <v>0</v>
      </c>
      <c r="AW14" s="46">
        <f>ROUND(G14*AO14,2)</f>
        <v>0</v>
      </c>
      <c r="AX14" s="46">
        <f>ROUND(G14*AP14,2)</f>
        <v>0</v>
      </c>
      <c r="AY14" s="48" t="s">
        <v>108</v>
      </c>
      <c r="AZ14" s="48" t="s">
        <v>109</v>
      </c>
      <c r="BA14" s="33" t="s">
        <v>110</v>
      </c>
      <c r="BC14" s="46">
        <f>AW14+AX14</f>
        <v>0</v>
      </c>
      <c r="BD14" s="46">
        <f>H14/(100-BE14)*100</f>
        <v>0</v>
      </c>
      <c r="BE14" s="46">
        <v>0</v>
      </c>
      <c r="BF14" s="46">
        <f>14</f>
        <v>14</v>
      </c>
      <c r="BH14" s="46">
        <f>G14*AO14</f>
        <v>0</v>
      </c>
      <c r="BI14" s="46">
        <f>G14*AP14</f>
        <v>0</v>
      </c>
      <c r="BJ14" s="46">
        <f>G14*H14</f>
        <v>0</v>
      </c>
      <c r="BK14" s="48" t="s">
        <v>111</v>
      </c>
      <c r="BL14" s="46">
        <v>13</v>
      </c>
      <c r="BW14" s="46">
        <v>21</v>
      </c>
      <c r="BX14" s="3" t="s">
        <v>105</v>
      </c>
    </row>
    <row r="15" spans="1:76" x14ac:dyDescent="0.25">
      <c r="A15" s="49"/>
      <c r="D15" s="50" t="s">
        <v>112</v>
      </c>
      <c r="E15" s="50"/>
      <c r="G15" s="51">
        <v>18.975000000000001</v>
      </c>
      <c r="L15" s="52"/>
    </row>
    <row r="16" spans="1:76" x14ac:dyDescent="0.25">
      <c r="A16" s="49"/>
      <c r="D16" s="50" t="s">
        <v>113</v>
      </c>
      <c r="E16" s="50"/>
      <c r="G16" s="51">
        <v>32.4</v>
      </c>
      <c r="L16" s="52"/>
    </row>
    <row r="17" spans="1:76" ht="15" customHeight="1" x14ac:dyDescent="0.25">
      <c r="A17" s="45" t="s">
        <v>114</v>
      </c>
      <c r="B17" s="1" t="s">
        <v>99</v>
      </c>
      <c r="C17" s="1" t="s">
        <v>115</v>
      </c>
      <c r="D17" s="61" t="s">
        <v>116</v>
      </c>
      <c r="E17" s="61"/>
      <c r="F17" s="1" t="s">
        <v>106</v>
      </c>
      <c r="G17" s="46">
        <v>2.2000000000000002</v>
      </c>
      <c r="H17" s="46">
        <v>0</v>
      </c>
      <c r="I17" s="46">
        <f>ROUND(G17*H17,2)</f>
        <v>0</v>
      </c>
      <c r="J17" s="46">
        <v>0</v>
      </c>
      <c r="K17" s="46">
        <v>0</v>
      </c>
      <c r="L17" s="47" t="s">
        <v>107</v>
      </c>
      <c r="Z17" s="46">
        <f>ROUND(IF(AQ17="5",BJ17,0),2)</f>
        <v>0</v>
      </c>
      <c r="AB17" s="46">
        <f>ROUND(IF(AQ17="1",BH17,0),2)</f>
        <v>0</v>
      </c>
      <c r="AC17" s="46">
        <f>ROUND(IF(AQ17="1",BI17,0),2)</f>
        <v>0</v>
      </c>
      <c r="AD17" s="46">
        <f>ROUND(IF(AQ17="7",BH17,0),2)</f>
        <v>0</v>
      </c>
      <c r="AE17" s="46">
        <f>ROUND(IF(AQ17="7",BI17,0),2)</f>
        <v>0</v>
      </c>
      <c r="AF17" s="46">
        <f>ROUND(IF(AQ17="2",BH17,0),2)</f>
        <v>0</v>
      </c>
      <c r="AG17" s="46">
        <f>ROUND(IF(AQ17="2",BI17,0),2)</f>
        <v>0</v>
      </c>
      <c r="AH17" s="46">
        <f>ROUND(IF(AQ17="0",BJ17,0),2)</f>
        <v>0</v>
      </c>
      <c r="AI17" s="33" t="s">
        <v>99</v>
      </c>
      <c r="AJ17" s="46">
        <f>IF(AN17=0,I17,0)</f>
        <v>0</v>
      </c>
      <c r="AK17" s="46">
        <f>IF(AN17=12,I17,0)</f>
        <v>0</v>
      </c>
      <c r="AL17" s="46">
        <f>IF(AN17=21,I17,0)</f>
        <v>0</v>
      </c>
      <c r="AN17" s="46">
        <v>21</v>
      </c>
      <c r="AO17" s="46">
        <f>H17*0</f>
        <v>0</v>
      </c>
      <c r="AP17" s="46">
        <f>H17*(1-0)</f>
        <v>0</v>
      </c>
      <c r="AQ17" s="48" t="s">
        <v>103</v>
      </c>
      <c r="AV17" s="46">
        <f>ROUND(AW17+AX17,2)</f>
        <v>0</v>
      </c>
      <c r="AW17" s="46">
        <f>ROUND(G17*AO17,2)</f>
        <v>0</v>
      </c>
      <c r="AX17" s="46">
        <f>ROUND(G17*AP17,2)</f>
        <v>0</v>
      </c>
      <c r="AY17" s="48" t="s">
        <v>108</v>
      </c>
      <c r="AZ17" s="48" t="s">
        <v>109</v>
      </c>
      <c r="BA17" s="33" t="s">
        <v>110</v>
      </c>
      <c r="BC17" s="46">
        <f>AW17+AX17</f>
        <v>0</v>
      </c>
      <c r="BD17" s="46">
        <f>H17/(100-BE17)*100</f>
        <v>0</v>
      </c>
      <c r="BE17" s="46">
        <v>0</v>
      </c>
      <c r="BF17" s="46">
        <f>17</f>
        <v>17</v>
      </c>
      <c r="BH17" s="46">
        <f>G17*AO17</f>
        <v>0</v>
      </c>
      <c r="BI17" s="46">
        <f>G17*AP17</f>
        <v>0</v>
      </c>
      <c r="BJ17" s="46">
        <f>G17*H17</f>
        <v>0</v>
      </c>
      <c r="BK17" s="48" t="s">
        <v>111</v>
      </c>
      <c r="BL17" s="46">
        <v>13</v>
      </c>
      <c r="BW17" s="46">
        <v>21</v>
      </c>
      <c r="BX17" s="3" t="s">
        <v>116</v>
      </c>
    </row>
    <row r="18" spans="1:76" x14ac:dyDescent="0.25">
      <c r="A18" s="49"/>
      <c r="D18" s="50" t="s">
        <v>117</v>
      </c>
      <c r="E18" s="50"/>
      <c r="G18" s="51">
        <v>2.2000000000000002</v>
      </c>
      <c r="L18" s="52"/>
    </row>
    <row r="19" spans="1:76" ht="15" customHeight="1" x14ac:dyDescent="0.25">
      <c r="A19" s="41"/>
      <c r="B19" s="42" t="s">
        <v>99</v>
      </c>
      <c r="C19" s="42" t="s">
        <v>118</v>
      </c>
      <c r="D19" s="99" t="s">
        <v>119</v>
      </c>
      <c r="E19" s="99"/>
      <c r="F19" s="43" t="s">
        <v>64</v>
      </c>
      <c r="G19" s="43" t="s">
        <v>64</v>
      </c>
      <c r="H19" s="43" t="s">
        <v>64</v>
      </c>
      <c r="I19" s="26">
        <f>SUM(I20:I22)</f>
        <v>0</v>
      </c>
      <c r="J19" s="33"/>
      <c r="K19" s="33"/>
      <c r="L19" s="44"/>
      <c r="AI19" s="33" t="s">
        <v>99</v>
      </c>
      <c r="AS19" s="26">
        <f>SUM(AJ20:AJ22)</f>
        <v>0</v>
      </c>
      <c r="AT19" s="26">
        <f>SUM(AK20:AK22)</f>
        <v>0</v>
      </c>
      <c r="AU19" s="26">
        <f>SUM(AL20:AL22)</f>
        <v>0</v>
      </c>
    </row>
    <row r="20" spans="1:76" ht="15" customHeight="1" x14ac:dyDescent="0.25">
      <c r="A20" s="45" t="s">
        <v>120</v>
      </c>
      <c r="B20" s="1" t="s">
        <v>99</v>
      </c>
      <c r="C20" s="1" t="s">
        <v>121</v>
      </c>
      <c r="D20" s="61" t="s">
        <v>122</v>
      </c>
      <c r="E20" s="61"/>
      <c r="F20" s="1" t="s">
        <v>123</v>
      </c>
      <c r="G20" s="46">
        <v>75</v>
      </c>
      <c r="H20" s="46">
        <v>0</v>
      </c>
      <c r="I20" s="46">
        <f>ROUND(G20*H20,2)</f>
        <v>0</v>
      </c>
      <c r="J20" s="46">
        <v>9.7999999999999997E-4</v>
      </c>
      <c r="K20" s="46">
        <v>9.7999999999999997E-4</v>
      </c>
      <c r="L20" s="47" t="s">
        <v>107</v>
      </c>
      <c r="Z20" s="46">
        <f>ROUND(IF(AQ20="5",BJ20,0),2)</f>
        <v>0</v>
      </c>
      <c r="AB20" s="46">
        <f>ROUND(IF(AQ20="1",BH20,0),2)</f>
        <v>0</v>
      </c>
      <c r="AC20" s="46">
        <f>ROUND(IF(AQ20="1",BI20,0),2)</f>
        <v>0</v>
      </c>
      <c r="AD20" s="46">
        <f>ROUND(IF(AQ20="7",BH20,0),2)</f>
        <v>0</v>
      </c>
      <c r="AE20" s="46">
        <f>ROUND(IF(AQ20="7",BI20,0),2)</f>
        <v>0</v>
      </c>
      <c r="AF20" s="46">
        <f>ROUND(IF(AQ20="2",BH20,0),2)</f>
        <v>0</v>
      </c>
      <c r="AG20" s="46">
        <f>ROUND(IF(AQ20="2",BI20,0),2)</f>
        <v>0</v>
      </c>
      <c r="AH20" s="46">
        <f>ROUND(IF(AQ20="0",BJ20,0),2)</f>
        <v>0</v>
      </c>
      <c r="AI20" s="33" t="s">
        <v>99</v>
      </c>
      <c r="AJ20" s="46">
        <f>IF(AN20=0,I20,0)</f>
        <v>0</v>
      </c>
      <c r="AK20" s="46">
        <f>IF(AN20=12,I20,0)</f>
        <v>0</v>
      </c>
      <c r="AL20" s="46">
        <f>IF(AN20=21,I20,0)</f>
        <v>0</v>
      </c>
      <c r="AN20" s="46">
        <v>21</v>
      </c>
      <c r="AO20" s="46">
        <f>H20*0.085505618</f>
        <v>0</v>
      </c>
      <c r="AP20" s="46">
        <f>H20*(1-0.085505618)</f>
        <v>0</v>
      </c>
      <c r="AQ20" s="48" t="s">
        <v>103</v>
      </c>
      <c r="AV20" s="46">
        <f>ROUND(AW20+AX20,2)</f>
        <v>0</v>
      </c>
      <c r="AW20" s="46">
        <f>ROUND(G20*AO20,2)</f>
        <v>0</v>
      </c>
      <c r="AX20" s="46">
        <f>ROUND(G20*AP20,2)</f>
        <v>0</v>
      </c>
      <c r="AY20" s="48" t="s">
        <v>124</v>
      </c>
      <c r="AZ20" s="48" t="s">
        <v>109</v>
      </c>
      <c r="BA20" s="33" t="s">
        <v>110</v>
      </c>
      <c r="BC20" s="46">
        <f>AW20+AX20</f>
        <v>0</v>
      </c>
      <c r="BD20" s="46">
        <f>H20/(100-BE20)*100</f>
        <v>0</v>
      </c>
      <c r="BE20" s="46">
        <v>0</v>
      </c>
      <c r="BF20" s="46">
        <f>20</f>
        <v>20</v>
      </c>
      <c r="BH20" s="46">
        <f>G20*AO20</f>
        <v>0</v>
      </c>
      <c r="BI20" s="46">
        <f>G20*AP20</f>
        <v>0</v>
      </c>
      <c r="BJ20" s="46">
        <f>G20*H20</f>
        <v>0</v>
      </c>
      <c r="BK20" s="48" t="s">
        <v>111</v>
      </c>
      <c r="BL20" s="46">
        <v>15</v>
      </c>
      <c r="BW20" s="46">
        <v>21</v>
      </c>
      <c r="BX20" s="3" t="s">
        <v>122</v>
      </c>
    </row>
    <row r="21" spans="1:76" x14ac:dyDescent="0.25">
      <c r="A21" s="49"/>
      <c r="D21" s="50" t="s">
        <v>125</v>
      </c>
      <c r="E21" s="50"/>
      <c r="G21" s="51">
        <v>75</v>
      </c>
      <c r="L21" s="52"/>
    </row>
    <row r="22" spans="1:76" ht="15" customHeight="1" x14ac:dyDescent="0.25">
      <c r="A22" s="45" t="s">
        <v>126</v>
      </c>
      <c r="B22" s="1" t="s">
        <v>99</v>
      </c>
      <c r="C22" s="1" t="s">
        <v>127</v>
      </c>
      <c r="D22" s="61" t="s">
        <v>128</v>
      </c>
      <c r="E22" s="61"/>
      <c r="F22" s="1" t="s">
        <v>123</v>
      </c>
      <c r="G22" s="46">
        <v>75</v>
      </c>
      <c r="H22" s="46">
        <v>0</v>
      </c>
      <c r="I22" s="46">
        <f>ROUND(G22*H22,2)</f>
        <v>0</v>
      </c>
      <c r="J22" s="46">
        <v>0</v>
      </c>
      <c r="K22" s="46">
        <v>0</v>
      </c>
      <c r="L22" s="47" t="s">
        <v>107</v>
      </c>
      <c r="Z22" s="46">
        <f>ROUND(IF(AQ22="5",BJ22,0),2)</f>
        <v>0</v>
      </c>
      <c r="AB22" s="46">
        <f>ROUND(IF(AQ22="1",BH22,0),2)</f>
        <v>0</v>
      </c>
      <c r="AC22" s="46">
        <f>ROUND(IF(AQ22="1",BI22,0),2)</f>
        <v>0</v>
      </c>
      <c r="AD22" s="46">
        <f>ROUND(IF(AQ22="7",BH22,0),2)</f>
        <v>0</v>
      </c>
      <c r="AE22" s="46">
        <f>ROUND(IF(AQ22="7",BI22,0),2)</f>
        <v>0</v>
      </c>
      <c r="AF22" s="46">
        <f>ROUND(IF(AQ22="2",BH22,0),2)</f>
        <v>0</v>
      </c>
      <c r="AG22" s="46">
        <f>ROUND(IF(AQ22="2",BI22,0),2)</f>
        <v>0</v>
      </c>
      <c r="AH22" s="46">
        <f>ROUND(IF(AQ22="0",BJ22,0),2)</f>
        <v>0</v>
      </c>
      <c r="AI22" s="33" t="s">
        <v>99</v>
      </c>
      <c r="AJ22" s="46">
        <f>IF(AN22=0,I22,0)</f>
        <v>0</v>
      </c>
      <c r="AK22" s="46">
        <f>IF(AN22=12,I22,0)</f>
        <v>0</v>
      </c>
      <c r="AL22" s="46">
        <f>IF(AN22=21,I22,0)</f>
        <v>0</v>
      </c>
      <c r="AN22" s="46">
        <v>21</v>
      </c>
      <c r="AO22" s="46">
        <f>H22*0</f>
        <v>0</v>
      </c>
      <c r="AP22" s="46">
        <f>H22*(1-0)</f>
        <v>0</v>
      </c>
      <c r="AQ22" s="48" t="s">
        <v>103</v>
      </c>
      <c r="AV22" s="46">
        <f>ROUND(AW22+AX22,2)</f>
        <v>0</v>
      </c>
      <c r="AW22" s="46">
        <f>ROUND(G22*AO22,2)</f>
        <v>0</v>
      </c>
      <c r="AX22" s="46">
        <f>ROUND(G22*AP22,2)</f>
        <v>0</v>
      </c>
      <c r="AY22" s="48" t="s">
        <v>124</v>
      </c>
      <c r="AZ22" s="48" t="s">
        <v>109</v>
      </c>
      <c r="BA22" s="33" t="s">
        <v>110</v>
      </c>
      <c r="BC22" s="46">
        <f>AW22+AX22</f>
        <v>0</v>
      </c>
      <c r="BD22" s="46">
        <f>H22/(100-BE22)*100</f>
        <v>0</v>
      </c>
      <c r="BE22" s="46">
        <v>0</v>
      </c>
      <c r="BF22" s="46">
        <f>22</f>
        <v>22</v>
      </c>
      <c r="BH22" s="46">
        <f>G22*AO22</f>
        <v>0</v>
      </c>
      <c r="BI22" s="46">
        <f>G22*AP22</f>
        <v>0</v>
      </c>
      <c r="BJ22" s="46">
        <f>G22*H22</f>
        <v>0</v>
      </c>
      <c r="BK22" s="48" t="s">
        <v>111</v>
      </c>
      <c r="BL22" s="46">
        <v>15</v>
      </c>
      <c r="BW22" s="46">
        <v>21</v>
      </c>
      <c r="BX22" s="3" t="s">
        <v>128</v>
      </c>
    </row>
    <row r="23" spans="1:76" x14ac:dyDescent="0.25">
      <c r="A23" s="49"/>
      <c r="D23" s="50" t="s">
        <v>129</v>
      </c>
      <c r="E23" s="50"/>
      <c r="G23" s="51">
        <v>75</v>
      </c>
      <c r="L23" s="52"/>
    </row>
    <row r="24" spans="1:76" ht="15" customHeight="1" x14ac:dyDescent="0.25">
      <c r="A24" s="41"/>
      <c r="B24" s="42" t="s">
        <v>99</v>
      </c>
      <c r="C24" s="42" t="s">
        <v>130</v>
      </c>
      <c r="D24" s="99" t="s">
        <v>131</v>
      </c>
      <c r="E24" s="99"/>
      <c r="F24" s="43" t="s">
        <v>64</v>
      </c>
      <c r="G24" s="43" t="s">
        <v>64</v>
      </c>
      <c r="H24" s="43" t="s">
        <v>64</v>
      </c>
      <c r="I24" s="26">
        <f>SUM(I25:I27)</f>
        <v>0</v>
      </c>
      <c r="J24" s="33"/>
      <c r="K24" s="33"/>
      <c r="L24" s="44"/>
      <c r="AI24" s="33" t="s">
        <v>99</v>
      </c>
      <c r="AS24" s="26">
        <f>SUM(AJ25:AJ27)</f>
        <v>0</v>
      </c>
      <c r="AT24" s="26">
        <f>SUM(AK25:AK27)</f>
        <v>0</v>
      </c>
      <c r="AU24" s="26">
        <f>SUM(AL25:AL27)</f>
        <v>0</v>
      </c>
    </row>
    <row r="25" spans="1:76" ht="15" customHeight="1" x14ac:dyDescent="0.25">
      <c r="A25" s="45" t="s">
        <v>132</v>
      </c>
      <c r="B25" s="1" t="s">
        <v>99</v>
      </c>
      <c r="C25" s="1" t="s">
        <v>133</v>
      </c>
      <c r="D25" s="61" t="s">
        <v>134</v>
      </c>
      <c r="E25" s="61"/>
      <c r="F25" s="1" t="s">
        <v>106</v>
      </c>
      <c r="G25" s="46">
        <v>51.4</v>
      </c>
      <c r="H25" s="46">
        <v>0</v>
      </c>
      <c r="I25" s="46">
        <f>ROUND(G25*H25,2)</f>
        <v>0</v>
      </c>
      <c r="J25" s="46">
        <v>0</v>
      </c>
      <c r="K25" s="46">
        <v>0</v>
      </c>
      <c r="L25" s="47" t="s">
        <v>107</v>
      </c>
      <c r="Z25" s="46">
        <f>ROUND(IF(AQ25="5",BJ25,0),2)</f>
        <v>0</v>
      </c>
      <c r="AB25" s="46">
        <f>ROUND(IF(AQ25="1",BH25,0),2)</f>
        <v>0</v>
      </c>
      <c r="AC25" s="46">
        <f>ROUND(IF(AQ25="1",BI25,0),2)</f>
        <v>0</v>
      </c>
      <c r="AD25" s="46">
        <f>ROUND(IF(AQ25="7",BH25,0),2)</f>
        <v>0</v>
      </c>
      <c r="AE25" s="46">
        <f>ROUND(IF(AQ25="7",BI25,0),2)</f>
        <v>0</v>
      </c>
      <c r="AF25" s="46">
        <f>ROUND(IF(AQ25="2",BH25,0),2)</f>
        <v>0</v>
      </c>
      <c r="AG25" s="46">
        <f>ROUND(IF(AQ25="2",BI25,0),2)</f>
        <v>0</v>
      </c>
      <c r="AH25" s="46">
        <f>ROUND(IF(AQ25="0",BJ25,0),2)</f>
        <v>0</v>
      </c>
      <c r="AI25" s="33" t="s">
        <v>99</v>
      </c>
      <c r="AJ25" s="46">
        <f>IF(AN25=0,I25,0)</f>
        <v>0</v>
      </c>
      <c r="AK25" s="46">
        <f>IF(AN25=12,I25,0)</f>
        <v>0</v>
      </c>
      <c r="AL25" s="46">
        <f>IF(AN25=21,I25,0)</f>
        <v>0</v>
      </c>
      <c r="AN25" s="46">
        <v>21</v>
      </c>
      <c r="AO25" s="46">
        <f>H25*0</f>
        <v>0</v>
      </c>
      <c r="AP25" s="46">
        <f>H25*(1-0)</f>
        <v>0</v>
      </c>
      <c r="AQ25" s="48" t="s">
        <v>103</v>
      </c>
      <c r="AV25" s="46">
        <f>ROUND(AW25+AX25,2)</f>
        <v>0</v>
      </c>
      <c r="AW25" s="46">
        <f>ROUND(G25*AO25,2)</f>
        <v>0</v>
      </c>
      <c r="AX25" s="46">
        <f>ROUND(G25*AP25,2)</f>
        <v>0</v>
      </c>
      <c r="AY25" s="48" t="s">
        <v>135</v>
      </c>
      <c r="AZ25" s="48" t="s">
        <v>109</v>
      </c>
      <c r="BA25" s="33" t="s">
        <v>110</v>
      </c>
      <c r="BC25" s="46">
        <f>AW25+AX25</f>
        <v>0</v>
      </c>
      <c r="BD25" s="46">
        <f>H25/(100-BE25)*100</f>
        <v>0</v>
      </c>
      <c r="BE25" s="46">
        <v>0</v>
      </c>
      <c r="BF25" s="46">
        <f>25</f>
        <v>25</v>
      </c>
      <c r="BH25" s="46">
        <f>G25*AO25</f>
        <v>0</v>
      </c>
      <c r="BI25" s="46">
        <f>G25*AP25</f>
        <v>0</v>
      </c>
      <c r="BJ25" s="46">
        <f>G25*H25</f>
        <v>0</v>
      </c>
      <c r="BK25" s="48" t="s">
        <v>111</v>
      </c>
      <c r="BL25" s="46">
        <v>16</v>
      </c>
      <c r="BW25" s="46">
        <v>21</v>
      </c>
      <c r="BX25" s="3" t="s">
        <v>134</v>
      </c>
    </row>
    <row r="26" spans="1:76" x14ac:dyDescent="0.25">
      <c r="A26" s="49"/>
      <c r="D26" s="50" t="s">
        <v>136</v>
      </c>
      <c r="E26" s="50"/>
      <c r="G26" s="51">
        <v>51.4</v>
      </c>
      <c r="L26" s="52"/>
    </row>
    <row r="27" spans="1:76" ht="15" customHeight="1" x14ac:dyDescent="0.25">
      <c r="A27" s="45" t="s">
        <v>137</v>
      </c>
      <c r="B27" s="1" t="s">
        <v>99</v>
      </c>
      <c r="C27" s="1" t="s">
        <v>138</v>
      </c>
      <c r="D27" s="61" t="s">
        <v>139</v>
      </c>
      <c r="E27" s="61"/>
      <c r="F27" s="1" t="s">
        <v>106</v>
      </c>
      <c r="G27" s="46">
        <v>51.4</v>
      </c>
      <c r="H27" s="46">
        <v>0</v>
      </c>
      <c r="I27" s="46">
        <f>ROUND(G27*H27,2)</f>
        <v>0</v>
      </c>
      <c r="J27" s="46">
        <v>0</v>
      </c>
      <c r="K27" s="46">
        <v>0</v>
      </c>
      <c r="L27" s="47" t="s">
        <v>107</v>
      </c>
      <c r="Z27" s="46">
        <f>ROUND(IF(AQ27="5",BJ27,0),2)</f>
        <v>0</v>
      </c>
      <c r="AB27" s="46">
        <f>ROUND(IF(AQ27="1",BH27,0),2)</f>
        <v>0</v>
      </c>
      <c r="AC27" s="46">
        <f>ROUND(IF(AQ27="1",BI27,0),2)</f>
        <v>0</v>
      </c>
      <c r="AD27" s="46">
        <f>ROUND(IF(AQ27="7",BH27,0),2)</f>
        <v>0</v>
      </c>
      <c r="AE27" s="46">
        <f>ROUND(IF(AQ27="7",BI27,0),2)</f>
        <v>0</v>
      </c>
      <c r="AF27" s="46">
        <f>ROUND(IF(AQ27="2",BH27,0),2)</f>
        <v>0</v>
      </c>
      <c r="AG27" s="46">
        <f>ROUND(IF(AQ27="2",BI27,0),2)</f>
        <v>0</v>
      </c>
      <c r="AH27" s="46">
        <f>ROUND(IF(AQ27="0",BJ27,0),2)</f>
        <v>0</v>
      </c>
      <c r="AI27" s="33" t="s">
        <v>99</v>
      </c>
      <c r="AJ27" s="46">
        <f>IF(AN27=0,I27,0)</f>
        <v>0</v>
      </c>
      <c r="AK27" s="46">
        <f>IF(AN27=12,I27,0)</f>
        <v>0</v>
      </c>
      <c r="AL27" s="46">
        <f>IF(AN27=21,I27,0)</f>
        <v>0</v>
      </c>
      <c r="AN27" s="46">
        <v>21</v>
      </c>
      <c r="AO27" s="46">
        <f>H27*0</f>
        <v>0</v>
      </c>
      <c r="AP27" s="46">
        <f>H27*(1-0)</f>
        <v>0</v>
      </c>
      <c r="AQ27" s="48" t="s">
        <v>103</v>
      </c>
      <c r="AV27" s="46">
        <f>ROUND(AW27+AX27,2)</f>
        <v>0</v>
      </c>
      <c r="AW27" s="46">
        <f>ROUND(G27*AO27,2)</f>
        <v>0</v>
      </c>
      <c r="AX27" s="46">
        <f>ROUND(G27*AP27,2)</f>
        <v>0</v>
      </c>
      <c r="AY27" s="48" t="s">
        <v>135</v>
      </c>
      <c r="AZ27" s="48" t="s">
        <v>109</v>
      </c>
      <c r="BA27" s="33" t="s">
        <v>110</v>
      </c>
      <c r="BC27" s="46">
        <f>AW27+AX27</f>
        <v>0</v>
      </c>
      <c r="BD27" s="46">
        <f>H27/(100-BE27)*100</f>
        <v>0</v>
      </c>
      <c r="BE27" s="46">
        <v>0</v>
      </c>
      <c r="BF27" s="46">
        <f>27</f>
        <v>27</v>
      </c>
      <c r="BH27" s="46">
        <f>G27*AO27</f>
        <v>0</v>
      </c>
      <c r="BI27" s="46">
        <f>G27*AP27</f>
        <v>0</v>
      </c>
      <c r="BJ27" s="46">
        <f>G27*H27</f>
        <v>0</v>
      </c>
      <c r="BK27" s="48" t="s">
        <v>111</v>
      </c>
      <c r="BL27" s="46">
        <v>16</v>
      </c>
      <c r="BW27" s="46">
        <v>21</v>
      </c>
      <c r="BX27" s="3" t="s">
        <v>139</v>
      </c>
    </row>
    <row r="28" spans="1:76" x14ac:dyDescent="0.25">
      <c r="A28" s="49"/>
      <c r="D28" s="50" t="s">
        <v>136</v>
      </c>
      <c r="E28" s="50"/>
      <c r="G28" s="51">
        <v>51.4</v>
      </c>
      <c r="L28" s="52"/>
    </row>
    <row r="29" spans="1:76" ht="15" customHeight="1" x14ac:dyDescent="0.25">
      <c r="A29" s="41"/>
      <c r="B29" s="42" t="s">
        <v>99</v>
      </c>
      <c r="C29" s="42" t="s">
        <v>140</v>
      </c>
      <c r="D29" s="99" t="s">
        <v>141</v>
      </c>
      <c r="E29" s="99"/>
      <c r="F29" s="43" t="s">
        <v>64</v>
      </c>
      <c r="G29" s="43" t="s">
        <v>64</v>
      </c>
      <c r="H29" s="43" t="s">
        <v>64</v>
      </c>
      <c r="I29" s="26">
        <f>SUM(I30:I37)</f>
        <v>0</v>
      </c>
      <c r="J29" s="33"/>
      <c r="K29" s="33"/>
      <c r="L29" s="44"/>
      <c r="AI29" s="33" t="s">
        <v>99</v>
      </c>
      <c r="AS29" s="26">
        <f>SUM(AJ30:AJ37)</f>
        <v>0</v>
      </c>
      <c r="AT29" s="26">
        <f>SUM(AK30:AK37)</f>
        <v>0</v>
      </c>
      <c r="AU29" s="26">
        <f>SUM(AL30:AL37)</f>
        <v>0</v>
      </c>
    </row>
    <row r="30" spans="1:76" ht="15" customHeight="1" x14ac:dyDescent="0.25">
      <c r="A30" s="45" t="s">
        <v>142</v>
      </c>
      <c r="B30" s="1" t="s">
        <v>99</v>
      </c>
      <c r="C30" s="1" t="s">
        <v>143</v>
      </c>
      <c r="D30" s="61" t="s">
        <v>144</v>
      </c>
      <c r="E30" s="61"/>
      <c r="F30" s="1" t="s">
        <v>106</v>
      </c>
      <c r="G30" s="46">
        <v>9.2249999999999996</v>
      </c>
      <c r="H30" s="46">
        <v>0</v>
      </c>
      <c r="I30" s="46">
        <f>ROUND(G30*H30,2)</f>
        <v>0</v>
      </c>
      <c r="J30" s="46">
        <v>1.7</v>
      </c>
      <c r="K30" s="46">
        <v>1.7</v>
      </c>
      <c r="L30" s="47" t="s">
        <v>107</v>
      </c>
      <c r="Z30" s="46">
        <f>ROUND(IF(AQ30="5",BJ30,0),2)</f>
        <v>0</v>
      </c>
      <c r="AB30" s="46">
        <f>ROUND(IF(AQ30="1",BH30,0),2)</f>
        <v>0</v>
      </c>
      <c r="AC30" s="46">
        <f>ROUND(IF(AQ30="1",BI30,0),2)</f>
        <v>0</v>
      </c>
      <c r="AD30" s="46">
        <f>ROUND(IF(AQ30="7",BH30,0),2)</f>
        <v>0</v>
      </c>
      <c r="AE30" s="46">
        <f>ROUND(IF(AQ30="7",BI30,0),2)</f>
        <v>0</v>
      </c>
      <c r="AF30" s="46">
        <f>ROUND(IF(AQ30="2",BH30,0),2)</f>
        <v>0</v>
      </c>
      <c r="AG30" s="46">
        <f>ROUND(IF(AQ30="2",BI30,0),2)</f>
        <v>0</v>
      </c>
      <c r="AH30" s="46">
        <f>ROUND(IF(AQ30="0",BJ30,0),2)</f>
        <v>0</v>
      </c>
      <c r="AI30" s="33" t="s">
        <v>99</v>
      </c>
      <c r="AJ30" s="46">
        <f>IF(AN30=0,I30,0)</f>
        <v>0</v>
      </c>
      <c r="AK30" s="46">
        <f>IF(AN30=12,I30,0)</f>
        <v>0</v>
      </c>
      <c r="AL30" s="46">
        <f>IF(AN30=21,I30,0)</f>
        <v>0</v>
      </c>
      <c r="AN30" s="46">
        <v>21</v>
      </c>
      <c r="AO30" s="46">
        <f>H30*0.486921764</f>
        <v>0</v>
      </c>
      <c r="AP30" s="46">
        <f>H30*(1-0.486921764)</f>
        <v>0</v>
      </c>
      <c r="AQ30" s="48" t="s">
        <v>103</v>
      </c>
      <c r="AV30" s="46">
        <f>ROUND(AW30+AX30,2)</f>
        <v>0</v>
      </c>
      <c r="AW30" s="46">
        <f>ROUND(G30*AO30,2)</f>
        <v>0</v>
      </c>
      <c r="AX30" s="46">
        <f>ROUND(G30*AP30,2)</f>
        <v>0</v>
      </c>
      <c r="AY30" s="48" t="s">
        <v>145</v>
      </c>
      <c r="AZ30" s="48" t="s">
        <v>109</v>
      </c>
      <c r="BA30" s="33" t="s">
        <v>110</v>
      </c>
      <c r="BC30" s="46">
        <f>AW30+AX30</f>
        <v>0</v>
      </c>
      <c r="BD30" s="46">
        <f>H30/(100-BE30)*100</f>
        <v>0</v>
      </c>
      <c r="BE30" s="46">
        <v>0</v>
      </c>
      <c r="BF30" s="46">
        <f>30</f>
        <v>30</v>
      </c>
      <c r="BH30" s="46">
        <f>G30*AO30</f>
        <v>0</v>
      </c>
      <c r="BI30" s="46">
        <f>G30*AP30</f>
        <v>0</v>
      </c>
      <c r="BJ30" s="46">
        <f>G30*H30</f>
        <v>0</v>
      </c>
      <c r="BK30" s="48" t="s">
        <v>111</v>
      </c>
      <c r="BL30" s="46">
        <v>17</v>
      </c>
      <c r="BW30" s="46">
        <v>21</v>
      </c>
      <c r="BX30" s="3" t="s">
        <v>144</v>
      </c>
    </row>
    <row r="31" spans="1:76" ht="13.5" customHeight="1" x14ac:dyDescent="0.25">
      <c r="A31" s="49"/>
      <c r="D31" s="100" t="s">
        <v>146</v>
      </c>
      <c r="E31" s="100"/>
      <c r="F31" s="100"/>
      <c r="G31" s="100"/>
      <c r="H31" s="100"/>
      <c r="I31" s="100"/>
      <c r="J31" s="100"/>
      <c r="K31" s="100"/>
      <c r="L31" s="100"/>
    </row>
    <row r="32" spans="1:76" x14ac:dyDescent="0.25">
      <c r="A32" s="49"/>
      <c r="D32" s="50" t="s">
        <v>147</v>
      </c>
      <c r="E32" s="50"/>
      <c r="G32" s="51">
        <v>5.1749999999999998</v>
      </c>
      <c r="L32" s="52"/>
    </row>
    <row r="33" spans="1:76" x14ac:dyDescent="0.25">
      <c r="A33" s="49"/>
      <c r="D33" s="50" t="s">
        <v>148</v>
      </c>
      <c r="E33" s="50"/>
      <c r="G33" s="51">
        <v>4.05</v>
      </c>
      <c r="L33" s="52"/>
    </row>
    <row r="34" spans="1:76" ht="15" customHeight="1" x14ac:dyDescent="0.25">
      <c r="A34" s="45" t="s">
        <v>149</v>
      </c>
      <c r="B34" s="1" t="s">
        <v>99</v>
      </c>
      <c r="C34" s="1" t="s">
        <v>150</v>
      </c>
      <c r="D34" s="61" t="s">
        <v>151</v>
      </c>
      <c r="E34" s="61"/>
      <c r="F34" s="1" t="s">
        <v>106</v>
      </c>
      <c r="G34" s="46">
        <v>36</v>
      </c>
      <c r="H34" s="46">
        <v>0</v>
      </c>
      <c r="I34" s="46">
        <f>ROUND(G34*H34,2)</f>
        <v>0</v>
      </c>
      <c r="J34" s="46">
        <v>0</v>
      </c>
      <c r="K34" s="46">
        <v>0</v>
      </c>
      <c r="L34" s="47" t="s">
        <v>107</v>
      </c>
      <c r="Z34" s="46">
        <f>ROUND(IF(AQ34="5",BJ34,0),2)</f>
        <v>0</v>
      </c>
      <c r="AB34" s="46">
        <f>ROUND(IF(AQ34="1",BH34,0),2)</f>
        <v>0</v>
      </c>
      <c r="AC34" s="46">
        <f>ROUND(IF(AQ34="1",BI34,0),2)</f>
        <v>0</v>
      </c>
      <c r="AD34" s="46">
        <f>ROUND(IF(AQ34="7",BH34,0),2)</f>
        <v>0</v>
      </c>
      <c r="AE34" s="46">
        <f>ROUND(IF(AQ34="7",BI34,0),2)</f>
        <v>0</v>
      </c>
      <c r="AF34" s="46">
        <f>ROUND(IF(AQ34="2",BH34,0),2)</f>
        <v>0</v>
      </c>
      <c r="AG34" s="46">
        <f>ROUND(IF(AQ34="2",BI34,0),2)</f>
        <v>0</v>
      </c>
      <c r="AH34" s="46">
        <f>ROUND(IF(AQ34="0",BJ34,0),2)</f>
        <v>0</v>
      </c>
      <c r="AI34" s="33" t="s">
        <v>99</v>
      </c>
      <c r="AJ34" s="46">
        <f>IF(AN34=0,I34,0)</f>
        <v>0</v>
      </c>
      <c r="AK34" s="46">
        <f>IF(AN34=12,I34,0)</f>
        <v>0</v>
      </c>
      <c r="AL34" s="46">
        <f>IF(AN34=21,I34,0)</f>
        <v>0</v>
      </c>
      <c r="AN34" s="46">
        <v>21</v>
      </c>
      <c r="AO34" s="46">
        <f>H34*0</f>
        <v>0</v>
      </c>
      <c r="AP34" s="46">
        <f>H34*(1-0)</f>
        <v>0</v>
      </c>
      <c r="AQ34" s="48" t="s">
        <v>103</v>
      </c>
      <c r="AV34" s="46">
        <f>ROUND(AW34+AX34,2)</f>
        <v>0</v>
      </c>
      <c r="AW34" s="46">
        <f>ROUND(G34*AO34,2)</f>
        <v>0</v>
      </c>
      <c r="AX34" s="46">
        <f>ROUND(G34*AP34,2)</f>
        <v>0</v>
      </c>
      <c r="AY34" s="48" t="s">
        <v>145</v>
      </c>
      <c r="AZ34" s="48" t="s">
        <v>109</v>
      </c>
      <c r="BA34" s="33" t="s">
        <v>110</v>
      </c>
      <c r="BC34" s="46">
        <f>AW34+AX34</f>
        <v>0</v>
      </c>
      <c r="BD34" s="46">
        <f>H34/(100-BE34)*100</f>
        <v>0</v>
      </c>
      <c r="BE34" s="46">
        <v>0</v>
      </c>
      <c r="BF34" s="46">
        <f>34</f>
        <v>34</v>
      </c>
      <c r="BH34" s="46">
        <f>G34*AO34</f>
        <v>0</v>
      </c>
      <c r="BI34" s="46">
        <f>G34*AP34</f>
        <v>0</v>
      </c>
      <c r="BJ34" s="46">
        <f>G34*H34</f>
        <v>0</v>
      </c>
      <c r="BK34" s="48" t="s">
        <v>111</v>
      </c>
      <c r="BL34" s="46">
        <v>17</v>
      </c>
      <c r="BW34" s="46">
        <v>21</v>
      </c>
      <c r="BX34" s="3" t="s">
        <v>151</v>
      </c>
    </row>
    <row r="35" spans="1:76" x14ac:dyDescent="0.25">
      <c r="A35" s="49"/>
      <c r="D35" s="50" t="s">
        <v>152</v>
      </c>
      <c r="E35" s="50"/>
      <c r="G35" s="51">
        <v>10.35</v>
      </c>
      <c r="L35" s="52"/>
    </row>
    <row r="36" spans="1:76" x14ac:dyDescent="0.25">
      <c r="A36" s="49"/>
      <c r="D36" s="50" t="s">
        <v>153</v>
      </c>
      <c r="E36" s="50"/>
      <c r="G36" s="51">
        <v>25.65</v>
      </c>
      <c r="L36" s="52"/>
    </row>
    <row r="37" spans="1:76" ht="15" customHeight="1" x14ac:dyDescent="0.25">
      <c r="A37" s="45" t="s">
        <v>154</v>
      </c>
      <c r="B37" s="1" t="s">
        <v>99</v>
      </c>
      <c r="C37" s="1" t="s">
        <v>155</v>
      </c>
      <c r="D37" s="61" t="s">
        <v>156</v>
      </c>
      <c r="E37" s="61"/>
      <c r="F37" s="1" t="s">
        <v>157</v>
      </c>
      <c r="G37" s="46">
        <v>68.400000000000006</v>
      </c>
      <c r="H37" s="46">
        <v>0</v>
      </c>
      <c r="I37" s="46">
        <f>ROUND(G37*H37,2)</f>
        <v>0</v>
      </c>
      <c r="J37" s="46">
        <v>1</v>
      </c>
      <c r="K37" s="46">
        <v>1</v>
      </c>
      <c r="L37" s="47" t="s">
        <v>107</v>
      </c>
      <c r="Z37" s="46">
        <f>ROUND(IF(AQ37="5",BJ37,0),2)</f>
        <v>0</v>
      </c>
      <c r="AB37" s="46">
        <f>ROUND(IF(AQ37="1",BH37,0),2)</f>
        <v>0</v>
      </c>
      <c r="AC37" s="46">
        <f>ROUND(IF(AQ37="1",BI37,0),2)</f>
        <v>0</v>
      </c>
      <c r="AD37" s="46">
        <f>ROUND(IF(AQ37="7",BH37,0),2)</f>
        <v>0</v>
      </c>
      <c r="AE37" s="46">
        <f>ROUND(IF(AQ37="7",BI37,0),2)</f>
        <v>0</v>
      </c>
      <c r="AF37" s="46">
        <f>ROUND(IF(AQ37="2",BH37,0),2)</f>
        <v>0</v>
      </c>
      <c r="AG37" s="46">
        <f>ROUND(IF(AQ37="2",BI37,0),2)</f>
        <v>0</v>
      </c>
      <c r="AH37" s="46">
        <f>ROUND(IF(AQ37="0",BJ37,0),2)</f>
        <v>0</v>
      </c>
      <c r="AI37" s="33" t="s">
        <v>99</v>
      </c>
      <c r="AJ37" s="46">
        <f>IF(AN37=0,I37,0)</f>
        <v>0</v>
      </c>
      <c r="AK37" s="46">
        <f>IF(AN37=12,I37,0)</f>
        <v>0</v>
      </c>
      <c r="AL37" s="46">
        <f>IF(AN37=21,I37,0)</f>
        <v>0</v>
      </c>
      <c r="AN37" s="46">
        <v>21</v>
      </c>
      <c r="AO37" s="46">
        <f>H37*1</f>
        <v>0</v>
      </c>
      <c r="AP37" s="46">
        <f>H37*(1-1)</f>
        <v>0</v>
      </c>
      <c r="AQ37" s="48" t="s">
        <v>103</v>
      </c>
      <c r="AV37" s="46">
        <f>ROUND(AW37+AX37,2)</f>
        <v>0</v>
      </c>
      <c r="AW37" s="46">
        <f>ROUND(G37*AO37,2)</f>
        <v>0</v>
      </c>
      <c r="AX37" s="46">
        <f>ROUND(G37*AP37,2)</f>
        <v>0</v>
      </c>
      <c r="AY37" s="48" t="s">
        <v>145</v>
      </c>
      <c r="AZ37" s="48" t="s">
        <v>109</v>
      </c>
      <c r="BA37" s="33" t="s">
        <v>110</v>
      </c>
      <c r="BC37" s="46">
        <f>AW37+AX37</f>
        <v>0</v>
      </c>
      <c r="BD37" s="46">
        <f>H37/(100-BE37)*100</f>
        <v>0</v>
      </c>
      <c r="BE37" s="46">
        <v>0</v>
      </c>
      <c r="BF37" s="46">
        <f>37</f>
        <v>37</v>
      </c>
      <c r="BH37" s="46">
        <f>G37*AO37</f>
        <v>0</v>
      </c>
      <c r="BI37" s="46">
        <f>G37*AP37</f>
        <v>0</v>
      </c>
      <c r="BJ37" s="46">
        <f>G37*H37</f>
        <v>0</v>
      </c>
      <c r="BK37" s="48" t="s">
        <v>158</v>
      </c>
      <c r="BL37" s="46">
        <v>17</v>
      </c>
      <c r="BW37" s="46">
        <v>21</v>
      </c>
      <c r="BX37" s="3" t="s">
        <v>156</v>
      </c>
    </row>
    <row r="38" spans="1:76" x14ac:dyDescent="0.25">
      <c r="A38" s="49"/>
      <c r="D38" s="50" t="s">
        <v>159</v>
      </c>
      <c r="E38" s="50"/>
      <c r="G38" s="51">
        <v>68.400000000000006</v>
      </c>
      <c r="L38" s="52"/>
    </row>
    <row r="39" spans="1:76" ht="15" customHeight="1" x14ac:dyDescent="0.25">
      <c r="A39" s="41"/>
      <c r="B39" s="42" t="s">
        <v>99</v>
      </c>
      <c r="C39" s="42" t="s">
        <v>160</v>
      </c>
      <c r="D39" s="99" t="s">
        <v>161</v>
      </c>
      <c r="E39" s="99"/>
      <c r="F39" s="43" t="s">
        <v>64</v>
      </c>
      <c r="G39" s="43" t="s">
        <v>64</v>
      </c>
      <c r="H39" s="43" t="s">
        <v>64</v>
      </c>
      <c r="I39" s="26">
        <f>SUM(I40)</f>
        <v>0</v>
      </c>
      <c r="J39" s="33"/>
      <c r="K39" s="33"/>
      <c r="L39" s="44"/>
      <c r="AI39" s="33" t="s">
        <v>99</v>
      </c>
      <c r="AS39" s="26">
        <f>SUM(AJ40)</f>
        <v>0</v>
      </c>
      <c r="AT39" s="26">
        <f>SUM(AK40)</f>
        <v>0</v>
      </c>
      <c r="AU39" s="26">
        <f>SUM(AL40)</f>
        <v>0</v>
      </c>
    </row>
    <row r="40" spans="1:76" ht="15" customHeight="1" x14ac:dyDescent="0.25">
      <c r="A40" s="45" t="s">
        <v>162</v>
      </c>
      <c r="B40" s="1" t="s">
        <v>99</v>
      </c>
      <c r="C40" s="1" t="s">
        <v>163</v>
      </c>
      <c r="D40" s="61" t="s">
        <v>164</v>
      </c>
      <c r="E40" s="61"/>
      <c r="F40" s="1" t="s">
        <v>106</v>
      </c>
      <c r="G40" s="46">
        <v>51.4</v>
      </c>
      <c r="H40" s="46">
        <v>0</v>
      </c>
      <c r="I40" s="46">
        <f>ROUND(G40*H40,2)</f>
        <v>0</v>
      </c>
      <c r="J40" s="46">
        <v>0</v>
      </c>
      <c r="K40" s="46">
        <v>0</v>
      </c>
      <c r="L40" s="47" t="s">
        <v>107</v>
      </c>
      <c r="Z40" s="46">
        <f>ROUND(IF(AQ40="5",BJ40,0),2)</f>
        <v>0</v>
      </c>
      <c r="AB40" s="46">
        <f>ROUND(IF(AQ40="1",BH40,0),2)</f>
        <v>0</v>
      </c>
      <c r="AC40" s="46">
        <f>ROUND(IF(AQ40="1",BI40,0),2)</f>
        <v>0</v>
      </c>
      <c r="AD40" s="46">
        <f>ROUND(IF(AQ40="7",BH40,0),2)</f>
        <v>0</v>
      </c>
      <c r="AE40" s="46">
        <f>ROUND(IF(AQ40="7",BI40,0),2)</f>
        <v>0</v>
      </c>
      <c r="AF40" s="46">
        <f>ROUND(IF(AQ40="2",BH40,0),2)</f>
        <v>0</v>
      </c>
      <c r="AG40" s="46">
        <f>ROUND(IF(AQ40="2",BI40,0),2)</f>
        <v>0</v>
      </c>
      <c r="AH40" s="46">
        <f>ROUND(IF(AQ40="0",BJ40,0),2)</f>
        <v>0</v>
      </c>
      <c r="AI40" s="33" t="s">
        <v>99</v>
      </c>
      <c r="AJ40" s="46">
        <f>IF(AN40=0,I40,0)</f>
        <v>0</v>
      </c>
      <c r="AK40" s="46">
        <f>IF(AN40=12,I40,0)</f>
        <v>0</v>
      </c>
      <c r="AL40" s="46">
        <f>IF(AN40=21,I40,0)</f>
        <v>0</v>
      </c>
      <c r="AN40" s="46">
        <v>21</v>
      </c>
      <c r="AO40" s="46">
        <f>H40*0</f>
        <v>0</v>
      </c>
      <c r="AP40" s="46">
        <f>H40*(1-0)</f>
        <v>0</v>
      </c>
      <c r="AQ40" s="48" t="s">
        <v>103</v>
      </c>
      <c r="AV40" s="46">
        <f>ROUND(AW40+AX40,2)</f>
        <v>0</v>
      </c>
      <c r="AW40" s="46">
        <f>ROUND(G40*AO40,2)</f>
        <v>0</v>
      </c>
      <c r="AX40" s="46">
        <f>ROUND(G40*AP40,2)</f>
        <v>0</v>
      </c>
      <c r="AY40" s="48" t="s">
        <v>165</v>
      </c>
      <c r="AZ40" s="48" t="s">
        <v>109</v>
      </c>
      <c r="BA40" s="33" t="s">
        <v>110</v>
      </c>
      <c r="BC40" s="46">
        <f>AW40+AX40</f>
        <v>0</v>
      </c>
      <c r="BD40" s="46">
        <f>H40/(100-BE40)*100</f>
        <v>0</v>
      </c>
      <c r="BE40" s="46">
        <v>0</v>
      </c>
      <c r="BF40" s="46">
        <f>40</f>
        <v>40</v>
      </c>
      <c r="BH40" s="46">
        <f>G40*AO40</f>
        <v>0</v>
      </c>
      <c r="BI40" s="46">
        <f>G40*AP40</f>
        <v>0</v>
      </c>
      <c r="BJ40" s="46">
        <f>G40*H40</f>
        <v>0</v>
      </c>
      <c r="BK40" s="48" t="s">
        <v>111</v>
      </c>
      <c r="BL40" s="46">
        <v>19</v>
      </c>
      <c r="BW40" s="46">
        <v>21</v>
      </c>
      <c r="BX40" s="3" t="s">
        <v>164</v>
      </c>
    </row>
    <row r="41" spans="1:76" x14ac:dyDescent="0.25">
      <c r="A41" s="49"/>
      <c r="D41" s="50" t="s">
        <v>136</v>
      </c>
      <c r="E41" s="50"/>
      <c r="G41" s="51">
        <v>51.4</v>
      </c>
      <c r="L41" s="52"/>
    </row>
    <row r="42" spans="1:76" ht="15" customHeight="1" x14ac:dyDescent="0.25">
      <c r="A42" s="41"/>
      <c r="B42" s="42" t="s">
        <v>99</v>
      </c>
      <c r="C42" s="42" t="s">
        <v>166</v>
      </c>
      <c r="D42" s="99" t="s">
        <v>167</v>
      </c>
      <c r="E42" s="99"/>
      <c r="F42" s="43" t="s">
        <v>64</v>
      </c>
      <c r="G42" s="43" t="s">
        <v>64</v>
      </c>
      <c r="H42" s="43" t="s">
        <v>64</v>
      </c>
      <c r="I42" s="26">
        <f>SUM(I43)</f>
        <v>0</v>
      </c>
      <c r="J42" s="33"/>
      <c r="K42" s="33"/>
      <c r="L42" s="44"/>
      <c r="AI42" s="33" t="s">
        <v>99</v>
      </c>
      <c r="AS42" s="26">
        <f>SUM(AJ43)</f>
        <v>0</v>
      </c>
      <c r="AT42" s="26">
        <f>SUM(AK43)</f>
        <v>0</v>
      </c>
      <c r="AU42" s="26">
        <f>SUM(AL43)</f>
        <v>0</v>
      </c>
    </row>
    <row r="43" spans="1:76" ht="15" customHeight="1" x14ac:dyDescent="0.25">
      <c r="A43" s="45" t="s">
        <v>168</v>
      </c>
      <c r="B43" s="1" t="s">
        <v>99</v>
      </c>
      <c r="C43" s="1" t="s">
        <v>169</v>
      </c>
      <c r="D43" s="61" t="s">
        <v>170</v>
      </c>
      <c r="E43" s="61"/>
      <c r="F43" s="1" t="s">
        <v>106</v>
      </c>
      <c r="G43" s="46">
        <v>4.2074999999999996</v>
      </c>
      <c r="H43" s="46">
        <v>0</v>
      </c>
      <c r="I43" s="46">
        <f>ROUND(G43*H43,2)</f>
        <v>0</v>
      </c>
      <c r="J43" s="46">
        <v>1.8907700000000001</v>
      </c>
      <c r="K43" s="46">
        <v>1.8907700000000001</v>
      </c>
      <c r="L43" s="47" t="s">
        <v>107</v>
      </c>
      <c r="Z43" s="46">
        <f>ROUND(IF(AQ43="5",BJ43,0),2)</f>
        <v>0</v>
      </c>
      <c r="AB43" s="46">
        <f>ROUND(IF(AQ43="1",BH43,0),2)</f>
        <v>0</v>
      </c>
      <c r="AC43" s="46">
        <f>ROUND(IF(AQ43="1",BI43,0),2)</f>
        <v>0</v>
      </c>
      <c r="AD43" s="46">
        <f>ROUND(IF(AQ43="7",BH43,0),2)</f>
        <v>0</v>
      </c>
      <c r="AE43" s="46">
        <f>ROUND(IF(AQ43="7",BI43,0),2)</f>
        <v>0</v>
      </c>
      <c r="AF43" s="46">
        <f>ROUND(IF(AQ43="2",BH43,0),2)</f>
        <v>0</v>
      </c>
      <c r="AG43" s="46">
        <f>ROUND(IF(AQ43="2",BI43,0),2)</f>
        <v>0</v>
      </c>
      <c r="AH43" s="46">
        <f>ROUND(IF(AQ43="0",BJ43,0),2)</f>
        <v>0</v>
      </c>
      <c r="AI43" s="33" t="s">
        <v>99</v>
      </c>
      <c r="AJ43" s="46">
        <f>IF(AN43=0,I43,0)</f>
        <v>0</v>
      </c>
      <c r="AK43" s="46">
        <f>IF(AN43=12,I43,0)</f>
        <v>0</v>
      </c>
      <c r="AL43" s="46">
        <f>IF(AN43=21,I43,0)</f>
        <v>0</v>
      </c>
      <c r="AN43" s="46">
        <v>21</v>
      </c>
      <c r="AO43" s="46">
        <f>H43*0.451860284</f>
        <v>0</v>
      </c>
      <c r="AP43" s="46">
        <f>H43*(1-0.451860284)</f>
        <v>0</v>
      </c>
      <c r="AQ43" s="48" t="s">
        <v>103</v>
      </c>
      <c r="AV43" s="46">
        <f>ROUND(AW43+AX43,2)</f>
        <v>0</v>
      </c>
      <c r="AW43" s="46">
        <f>ROUND(G43*AO43,2)</f>
        <v>0</v>
      </c>
      <c r="AX43" s="46">
        <f>ROUND(G43*AP43,2)</f>
        <v>0</v>
      </c>
      <c r="AY43" s="48" t="s">
        <v>171</v>
      </c>
      <c r="AZ43" s="48" t="s">
        <v>172</v>
      </c>
      <c r="BA43" s="33" t="s">
        <v>110</v>
      </c>
      <c r="BC43" s="46">
        <f>AW43+AX43</f>
        <v>0</v>
      </c>
      <c r="BD43" s="46">
        <f>H43/(100-BE43)*100</f>
        <v>0</v>
      </c>
      <c r="BE43" s="46">
        <v>0</v>
      </c>
      <c r="BF43" s="46">
        <f>43</f>
        <v>43</v>
      </c>
      <c r="BH43" s="46">
        <f>G43*AO43</f>
        <v>0</v>
      </c>
      <c r="BI43" s="46">
        <f>G43*AP43</f>
        <v>0</v>
      </c>
      <c r="BJ43" s="46">
        <f>G43*H43</f>
        <v>0</v>
      </c>
      <c r="BK43" s="48" t="s">
        <v>111</v>
      </c>
      <c r="BL43" s="46">
        <v>45</v>
      </c>
      <c r="BW43" s="46">
        <v>21</v>
      </c>
      <c r="BX43" s="3" t="s">
        <v>170</v>
      </c>
    </row>
    <row r="44" spans="1:76" x14ac:dyDescent="0.25">
      <c r="A44" s="49"/>
      <c r="D44" s="50" t="s">
        <v>173</v>
      </c>
      <c r="E44" s="50"/>
      <c r="G44" s="51">
        <v>2.5874999999999999</v>
      </c>
      <c r="L44" s="52"/>
    </row>
    <row r="45" spans="1:76" x14ac:dyDescent="0.25">
      <c r="A45" s="49"/>
      <c r="D45" s="50" t="s">
        <v>174</v>
      </c>
      <c r="E45" s="50"/>
      <c r="G45" s="51">
        <v>1.62</v>
      </c>
      <c r="L45" s="52"/>
    </row>
    <row r="46" spans="1:76" ht="15" customHeight="1" x14ac:dyDescent="0.25">
      <c r="A46" s="41"/>
      <c r="B46" s="42" t="s">
        <v>99</v>
      </c>
      <c r="C46" s="42" t="s">
        <v>175</v>
      </c>
      <c r="D46" s="99" t="s">
        <v>176</v>
      </c>
      <c r="E46" s="99"/>
      <c r="F46" s="43" t="s">
        <v>64</v>
      </c>
      <c r="G46" s="43" t="s">
        <v>64</v>
      </c>
      <c r="H46" s="43" t="s">
        <v>64</v>
      </c>
      <c r="I46" s="26">
        <f>SUM(I47:I49)</f>
        <v>0</v>
      </c>
      <c r="J46" s="33"/>
      <c r="K46" s="33"/>
      <c r="L46" s="44"/>
      <c r="AI46" s="33" t="s">
        <v>99</v>
      </c>
      <c r="AS46" s="26">
        <f>SUM(AJ47:AJ49)</f>
        <v>0</v>
      </c>
      <c r="AT46" s="26">
        <f>SUM(AK47:AK49)</f>
        <v>0</v>
      </c>
      <c r="AU46" s="26">
        <f>SUM(AL47:AL49)</f>
        <v>0</v>
      </c>
    </row>
    <row r="47" spans="1:76" ht="15" customHeight="1" x14ac:dyDescent="0.25">
      <c r="A47" s="45" t="s">
        <v>177</v>
      </c>
      <c r="B47" s="1" t="s">
        <v>99</v>
      </c>
      <c r="C47" s="1" t="s">
        <v>178</v>
      </c>
      <c r="D47" s="61" t="s">
        <v>179</v>
      </c>
      <c r="E47" s="61"/>
      <c r="F47" s="1" t="s">
        <v>180</v>
      </c>
      <c r="G47" s="46">
        <v>24</v>
      </c>
      <c r="H47" s="46">
        <v>0</v>
      </c>
      <c r="I47" s="46">
        <f>ROUND(G47*H47,2)</f>
        <v>0</v>
      </c>
      <c r="J47" s="46">
        <v>5.1999999999999995E-4</v>
      </c>
      <c r="K47" s="46">
        <v>5.1999999999999995E-4</v>
      </c>
      <c r="L47" s="47" t="s">
        <v>107</v>
      </c>
      <c r="Z47" s="46">
        <f>ROUND(IF(AQ47="5",BJ47,0),2)</f>
        <v>0</v>
      </c>
      <c r="AB47" s="46">
        <f>ROUND(IF(AQ47="1",BH47,0),2)</f>
        <v>0</v>
      </c>
      <c r="AC47" s="46">
        <f>ROUND(IF(AQ47="1",BI47,0),2)</f>
        <v>0</v>
      </c>
      <c r="AD47" s="46">
        <f>ROUND(IF(AQ47="7",BH47,0),2)</f>
        <v>0</v>
      </c>
      <c r="AE47" s="46">
        <f>ROUND(IF(AQ47="7",BI47,0),2)</f>
        <v>0</v>
      </c>
      <c r="AF47" s="46">
        <f>ROUND(IF(AQ47="2",BH47,0),2)</f>
        <v>0</v>
      </c>
      <c r="AG47" s="46">
        <f>ROUND(IF(AQ47="2",BI47,0),2)</f>
        <v>0</v>
      </c>
      <c r="AH47" s="46">
        <f>ROUND(IF(AQ47="0",BJ47,0),2)</f>
        <v>0</v>
      </c>
      <c r="AI47" s="33" t="s">
        <v>99</v>
      </c>
      <c r="AJ47" s="46">
        <f>IF(AN47=0,I47,0)</f>
        <v>0</v>
      </c>
      <c r="AK47" s="46">
        <f>IF(AN47=12,I47,0)</f>
        <v>0</v>
      </c>
      <c r="AL47" s="46">
        <f>IF(AN47=21,I47,0)</f>
        <v>0</v>
      </c>
      <c r="AN47" s="46">
        <v>21</v>
      </c>
      <c r="AO47" s="46">
        <f>H47*0.229215607</f>
        <v>0</v>
      </c>
      <c r="AP47" s="46">
        <f>H47*(1-0.229215607)</f>
        <v>0</v>
      </c>
      <c r="AQ47" s="48" t="s">
        <v>142</v>
      </c>
      <c r="AV47" s="46">
        <f>ROUND(AW47+AX47,2)</f>
        <v>0</v>
      </c>
      <c r="AW47" s="46">
        <f>ROUND(G47*AO47,2)</f>
        <v>0</v>
      </c>
      <c r="AX47" s="46">
        <f>ROUND(G47*AP47,2)</f>
        <v>0</v>
      </c>
      <c r="AY47" s="48" t="s">
        <v>181</v>
      </c>
      <c r="AZ47" s="48" t="s">
        <v>182</v>
      </c>
      <c r="BA47" s="33" t="s">
        <v>110</v>
      </c>
      <c r="BC47" s="46">
        <f>AW47+AX47</f>
        <v>0</v>
      </c>
      <c r="BD47" s="46">
        <f>H47/(100-BE47)*100</f>
        <v>0</v>
      </c>
      <c r="BE47" s="46">
        <v>0</v>
      </c>
      <c r="BF47" s="46">
        <f>47</f>
        <v>47</v>
      </c>
      <c r="BH47" s="46">
        <f>G47*AO47</f>
        <v>0</v>
      </c>
      <c r="BI47" s="46">
        <f>G47*AP47</f>
        <v>0</v>
      </c>
      <c r="BJ47" s="46">
        <f>G47*H47</f>
        <v>0</v>
      </c>
      <c r="BK47" s="48" t="s">
        <v>111</v>
      </c>
      <c r="BL47" s="46">
        <v>722</v>
      </c>
      <c r="BW47" s="46">
        <v>21</v>
      </c>
      <c r="BX47" s="3" t="s">
        <v>179</v>
      </c>
    </row>
    <row r="48" spans="1:76" x14ac:dyDescent="0.25">
      <c r="A48" s="49"/>
      <c r="D48" s="50" t="s">
        <v>183</v>
      </c>
      <c r="E48" s="50"/>
      <c r="G48" s="51">
        <v>24</v>
      </c>
      <c r="L48" s="52"/>
    </row>
    <row r="49" spans="1:76" ht="15" customHeight="1" x14ac:dyDescent="0.25">
      <c r="A49" s="45" t="s">
        <v>101</v>
      </c>
      <c r="B49" s="1" t="s">
        <v>99</v>
      </c>
      <c r="C49" s="1" t="s">
        <v>184</v>
      </c>
      <c r="D49" s="61" t="s">
        <v>185</v>
      </c>
      <c r="E49" s="61"/>
      <c r="F49" s="1" t="s">
        <v>186</v>
      </c>
      <c r="G49" s="46">
        <v>1</v>
      </c>
      <c r="H49" s="46">
        <v>0</v>
      </c>
      <c r="I49" s="46">
        <f>ROUND(G49*H49,2)</f>
        <v>0</v>
      </c>
      <c r="J49" s="46">
        <v>1.9000000000000001E-4</v>
      </c>
      <c r="K49" s="46">
        <v>1.9000000000000001E-4</v>
      </c>
      <c r="L49" s="47" t="s">
        <v>107</v>
      </c>
      <c r="Z49" s="46">
        <f>ROUND(IF(AQ49="5",BJ49,0),2)</f>
        <v>0</v>
      </c>
      <c r="AB49" s="46">
        <f>ROUND(IF(AQ49="1",BH49,0),2)</f>
        <v>0</v>
      </c>
      <c r="AC49" s="46">
        <f>ROUND(IF(AQ49="1",BI49,0),2)</f>
        <v>0</v>
      </c>
      <c r="AD49" s="46">
        <f>ROUND(IF(AQ49="7",BH49,0),2)</f>
        <v>0</v>
      </c>
      <c r="AE49" s="46">
        <f>ROUND(IF(AQ49="7",BI49,0),2)</f>
        <v>0</v>
      </c>
      <c r="AF49" s="46">
        <f>ROUND(IF(AQ49="2",BH49,0),2)</f>
        <v>0</v>
      </c>
      <c r="AG49" s="46">
        <f>ROUND(IF(AQ49="2",BI49,0),2)</f>
        <v>0</v>
      </c>
      <c r="AH49" s="46">
        <f>ROUND(IF(AQ49="0",BJ49,0),2)</f>
        <v>0</v>
      </c>
      <c r="AI49" s="33" t="s">
        <v>99</v>
      </c>
      <c r="AJ49" s="46">
        <f>IF(AN49=0,I49,0)</f>
        <v>0</v>
      </c>
      <c r="AK49" s="46">
        <f>IF(AN49=12,I49,0)</f>
        <v>0</v>
      </c>
      <c r="AL49" s="46">
        <f>IF(AN49=21,I49,0)</f>
        <v>0</v>
      </c>
      <c r="AN49" s="46">
        <v>21</v>
      </c>
      <c r="AO49" s="46">
        <f>H49*0.806023295</f>
        <v>0</v>
      </c>
      <c r="AP49" s="46">
        <f>H49*(1-0.806023295)</f>
        <v>0</v>
      </c>
      <c r="AQ49" s="48" t="s">
        <v>142</v>
      </c>
      <c r="AV49" s="46">
        <f>ROUND(AW49+AX49,2)</f>
        <v>0</v>
      </c>
      <c r="AW49" s="46">
        <f>ROUND(G49*AO49,2)</f>
        <v>0</v>
      </c>
      <c r="AX49" s="46">
        <f>ROUND(G49*AP49,2)</f>
        <v>0</v>
      </c>
      <c r="AY49" s="48" t="s">
        <v>181</v>
      </c>
      <c r="AZ49" s="48" t="s">
        <v>182</v>
      </c>
      <c r="BA49" s="33" t="s">
        <v>110</v>
      </c>
      <c r="BC49" s="46">
        <f>AW49+AX49</f>
        <v>0</v>
      </c>
      <c r="BD49" s="46">
        <f>H49/(100-BE49)*100</f>
        <v>0</v>
      </c>
      <c r="BE49" s="46">
        <v>0</v>
      </c>
      <c r="BF49" s="46">
        <f>49</f>
        <v>49</v>
      </c>
      <c r="BH49" s="46">
        <f>G49*AO49</f>
        <v>0</v>
      </c>
      <c r="BI49" s="46">
        <f>G49*AP49</f>
        <v>0</v>
      </c>
      <c r="BJ49" s="46">
        <f>G49*H49</f>
        <v>0</v>
      </c>
      <c r="BK49" s="48" t="s">
        <v>111</v>
      </c>
      <c r="BL49" s="46">
        <v>722</v>
      </c>
      <c r="BW49" s="46">
        <v>21</v>
      </c>
      <c r="BX49" s="3" t="s">
        <v>185</v>
      </c>
    </row>
    <row r="50" spans="1:76" x14ac:dyDescent="0.25">
      <c r="A50" s="49"/>
      <c r="D50" s="50" t="s">
        <v>103</v>
      </c>
      <c r="E50" s="50"/>
      <c r="G50" s="51">
        <v>1</v>
      </c>
      <c r="L50" s="52"/>
    </row>
    <row r="51" spans="1:76" ht="15" customHeight="1" x14ac:dyDescent="0.25">
      <c r="A51" s="41"/>
      <c r="B51" s="42" t="s">
        <v>99</v>
      </c>
      <c r="C51" s="42" t="s">
        <v>187</v>
      </c>
      <c r="D51" s="99" t="s">
        <v>188</v>
      </c>
      <c r="E51" s="99"/>
      <c r="F51" s="43" t="s">
        <v>64</v>
      </c>
      <c r="G51" s="43" t="s">
        <v>64</v>
      </c>
      <c r="H51" s="43" t="s">
        <v>64</v>
      </c>
      <c r="I51" s="26">
        <f>SUM(I52:I60)</f>
        <v>0</v>
      </c>
      <c r="J51" s="33"/>
      <c r="K51" s="33"/>
      <c r="L51" s="44"/>
      <c r="AI51" s="33" t="s">
        <v>99</v>
      </c>
      <c r="AS51" s="26">
        <f>SUM(AJ52:AJ60)</f>
        <v>0</v>
      </c>
      <c r="AT51" s="26">
        <f>SUM(AK52:AK60)</f>
        <v>0</v>
      </c>
      <c r="AU51" s="26">
        <f>SUM(AL52:AL60)</f>
        <v>0</v>
      </c>
    </row>
    <row r="52" spans="1:76" ht="15" customHeight="1" x14ac:dyDescent="0.25">
      <c r="A52" s="45" t="s">
        <v>189</v>
      </c>
      <c r="B52" s="1" t="s">
        <v>99</v>
      </c>
      <c r="C52" s="1" t="s">
        <v>190</v>
      </c>
      <c r="D52" s="61" t="s">
        <v>191</v>
      </c>
      <c r="E52" s="61"/>
      <c r="F52" s="1" t="s">
        <v>180</v>
      </c>
      <c r="G52" s="46">
        <v>31</v>
      </c>
      <c r="H52" s="46">
        <v>0</v>
      </c>
      <c r="I52" s="46">
        <f>ROUND(G52*H52,2)</f>
        <v>0</v>
      </c>
      <c r="J52" s="46">
        <v>1.0000000000000001E-5</v>
      </c>
      <c r="K52" s="46">
        <v>1.0000000000000001E-5</v>
      </c>
      <c r="L52" s="47" t="s">
        <v>107</v>
      </c>
      <c r="Z52" s="46">
        <f>ROUND(IF(AQ52="5",BJ52,0),2)</f>
        <v>0</v>
      </c>
      <c r="AB52" s="46">
        <f>ROUND(IF(AQ52="1",BH52,0),2)</f>
        <v>0</v>
      </c>
      <c r="AC52" s="46">
        <f>ROUND(IF(AQ52="1",BI52,0),2)</f>
        <v>0</v>
      </c>
      <c r="AD52" s="46">
        <f>ROUND(IF(AQ52="7",BH52,0),2)</f>
        <v>0</v>
      </c>
      <c r="AE52" s="46">
        <f>ROUND(IF(AQ52="7",BI52,0),2)</f>
        <v>0</v>
      </c>
      <c r="AF52" s="46">
        <f>ROUND(IF(AQ52="2",BH52,0),2)</f>
        <v>0</v>
      </c>
      <c r="AG52" s="46">
        <f>ROUND(IF(AQ52="2",BI52,0),2)</f>
        <v>0</v>
      </c>
      <c r="AH52" s="46">
        <f>ROUND(IF(AQ52="0",BJ52,0),2)</f>
        <v>0</v>
      </c>
      <c r="AI52" s="33" t="s">
        <v>99</v>
      </c>
      <c r="AJ52" s="46">
        <f>IF(AN52=0,I52,0)</f>
        <v>0</v>
      </c>
      <c r="AK52" s="46">
        <f>IF(AN52=12,I52,0)</f>
        <v>0</v>
      </c>
      <c r="AL52" s="46">
        <f>IF(AN52=21,I52,0)</f>
        <v>0</v>
      </c>
      <c r="AN52" s="46">
        <v>21</v>
      </c>
      <c r="AO52" s="46">
        <f>H52*0.00498155</f>
        <v>0</v>
      </c>
      <c r="AP52" s="46">
        <f>H52*(1-0.00498155)</f>
        <v>0</v>
      </c>
      <c r="AQ52" s="48" t="s">
        <v>103</v>
      </c>
      <c r="AV52" s="46">
        <f>ROUND(AW52+AX52,2)</f>
        <v>0</v>
      </c>
      <c r="AW52" s="46">
        <f>ROUND(G52*AO52,2)</f>
        <v>0</v>
      </c>
      <c r="AX52" s="46">
        <f>ROUND(G52*AP52,2)</f>
        <v>0</v>
      </c>
      <c r="AY52" s="48" t="s">
        <v>192</v>
      </c>
      <c r="AZ52" s="48" t="s">
        <v>193</v>
      </c>
      <c r="BA52" s="33" t="s">
        <v>110</v>
      </c>
      <c r="BC52" s="46">
        <f>AW52+AX52</f>
        <v>0</v>
      </c>
      <c r="BD52" s="46">
        <f>H52/(100-BE52)*100</f>
        <v>0</v>
      </c>
      <c r="BE52" s="46">
        <v>0</v>
      </c>
      <c r="BF52" s="46">
        <f>52</f>
        <v>52</v>
      </c>
      <c r="BH52" s="46">
        <f>G52*AO52</f>
        <v>0</v>
      </c>
      <c r="BI52" s="46">
        <f>G52*AP52</f>
        <v>0</v>
      </c>
      <c r="BJ52" s="46">
        <f>G52*H52</f>
        <v>0</v>
      </c>
      <c r="BK52" s="48" t="s">
        <v>111</v>
      </c>
      <c r="BL52" s="46">
        <v>87</v>
      </c>
      <c r="BW52" s="46">
        <v>21</v>
      </c>
      <c r="BX52" s="3" t="s">
        <v>191</v>
      </c>
    </row>
    <row r="53" spans="1:76" x14ac:dyDescent="0.25">
      <c r="A53" s="49"/>
      <c r="D53" s="50" t="s">
        <v>194</v>
      </c>
      <c r="E53" s="50"/>
      <c r="G53" s="51">
        <v>31</v>
      </c>
      <c r="L53" s="52"/>
    </row>
    <row r="54" spans="1:76" ht="15" customHeight="1" x14ac:dyDescent="0.25">
      <c r="A54" s="45" t="s">
        <v>118</v>
      </c>
      <c r="B54" s="1" t="s">
        <v>99</v>
      </c>
      <c r="C54" s="1" t="s">
        <v>195</v>
      </c>
      <c r="D54" s="61" t="s">
        <v>196</v>
      </c>
      <c r="E54" s="61"/>
      <c r="F54" s="1" t="s">
        <v>186</v>
      </c>
      <c r="G54" s="46">
        <v>32</v>
      </c>
      <c r="H54" s="46">
        <v>0</v>
      </c>
      <c r="I54" s="46">
        <f>ROUND(G54*H54,2)</f>
        <v>0</v>
      </c>
      <c r="J54" s="46">
        <v>4.6299999999999996E-3</v>
      </c>
      <c r="K54" s="46">
        <v>4.6299999999999996E-3</v>
      </c>
      <c r="L54" s="47" t="s">
        <v>107</v>
      </c>
      <c r="Z54" s="46">
        <f>ROUND(IF(AQ54="5",BJ54,0),2)</f>
        <v>0</v>
      </c>
      <c r="AB54" s="46">
        <f>ROUND(IF(AQ54="1",BH54,0),2)</f>
        <v>0</v>
      </c>
      <c r="AC54" s="46">
        <f>ROUND(IF(AQ54="1",BI54,0),2)</f>
        <v>0</v>
      </c>
      <c r="AD54" s="46">
        <f>ROUND(IF(AQ54="7",BH54,0),2)</f>
        <v>0</v>
      </c>
      <c r="AE54" s="46">
        <f>ROUND(IF(AQ54="7",BI54,0),2)</f>
        <v>0</v>
      </c>
      <c r="AF54" s="46">
        <f>ROUND(IF(AQ54="2",BH54,0),2)</f>
        <v>0</v>
      </c>
      <c r="AG54" s="46">
        <f>ROUND(IF(AQ54="2",BI54,0),2)</f>
        <v>0</v>
      </c>
      <c r="AH54" s="46">
        <f>ROUND(IF(AQ54="0",BJ54,0),2)</f>
        <v>0</v>
      </c>
      <c r="AI54" s="33" t="s">
        <v>99</v>
      </c>
      <c r="AJ54" s="46">
        <f>IF(AN54=0,I54,0)</f>
        <v>0</v>
      </c>
      <c r="AK54" s="46">
        <f>IF(AN54=12,I54,0)</f>
        <v>0</v>
      </c>
      <c r="AL54" s="46">
        <f>IF(AN54=21,I54,0)</f>
        <v>0</v>
      </c>
      <c r="AN54" s="46">
        <v>21</v>
      </c>
      <c r="AO54" s="46">
        <f>H54*1</f>
        <v>0</v>
      </c>
      <c r="AP54" s="46">
        <f>H54*(1-1)</f>
        <v>0</v>
      </c>
      <c r="AQ54" s="48" t="s">
        <v>103</v>
      </c>
      <c r="AV54" s="46">
        <f>ROUND(AW54+AX54,2)</f>
        <v>0</v>
      </c>
      <c r="AW54" s="46">
        <f>ROUND(G54*AO54,2)</f>
        <v>0</v>
      </c>
      <c r="AX54" s="46">
        <f>ROUND(G54*AP54,2)</f>
        <v>0</v>
      </c>
      <c r="AY54" s="48" t="s">
        <v>192</v>
      </c>
      <c r="AZ54" s="48" t="s">
        <v>193</v>
      </c>
      <c r="BA54" s="33" t="s">
        <v>110</v>
      </c>
      <c r="BC54" s="46">
        <f>AW54+AX54</f>
        <v>0</v>
      </c>
      <c r="BD54" s="46">
        <f>H54/(100-BE54)*100</f>
        <v>0</v>
      </c>
      <c r="BE54" s="46">
        <v>0</v>
      </c>
      <c r="BF54" s="46">
        <f>54</f>
        <v>54</v>
      </c>
      <c r="BH54" s="46">
        <f>G54*AO54</f>
        <v>0</v>
      </c>
      <c r="BI54" s="46">
        <f>G54*AP54</f>
        <v>0</v>
      </c>
      <c r="BJ54" s="46">
        <f>G54*H54</f>
        <v>0</v>
      </c>
      <c r="BK54" s="48" t="s">
        <v>158</v>
      </c>
      <c r="BL54" s="46">
        <v>87</v>
      </c>
      <c r="BW54" s="46">
        <v>21</v>
      </c>
      <c r="BX54" s="3" t="s">
        <v>196</v>
      </c>
    </row>
    <row r="55" spans="1:76" x14ac:dyDescent="0.25">
      <c r="A55" s="49"/>
      <c r="D55" s="50" t="s">
        <v>197</v>
      </c>
      <c r="E55" s="50"/>
      <c r="G55" s="51">
        <v>32</v>
      </c>
      <c r="L55" s="52"/>
    </row>
    <row r="56" spans="1:76" ht="15" customHeight="1" x14ac:dyDescent="0.25">
      <c r="A56" s="45" t="s">
        <v>130</v>
      </c>
      <c r="B56" s="1" t="s">
        <v>99</v>
      </c>
      <c r="C56" s="1" t="s">
        <v>198</v>
      </c>
      <c r="D56" s="61" t="s">
        <v>199</v>
      </c>
      <c r="E56" s="61"/>
      <c r="F56" s="1" t="s">
        <v>186</v>
      </c>
      <c r="G56" s="46">
        <v>24</v>
      </c>
      <c r="H56" s="46">
        <v>0</v>
      </c>
      <c r="I56" s="46">
        <f>ROUND(G56*H56,2)</f>
        <v>0</v>
      </c>
      <c r="J56" s="46">
        <v>2.0000000000000002E-5</v>
      </c>
      <c r="K56" s="46">
        <v>2.0000000000000002E-5</v>
      </c>
      <c r="L56" s="47" t="s">
        <v>107</v>
      </c>
      <c r="Z56" s="46">
        <f>ROUND(IF(AQ56="5",BJ56,0),2)</f>
        <v>0</v>
      </c>
      <c r="AB56" s="46">
        <f>ROUND(IF(AQ56="1",BH56,0),2)</f>
        <v>0</v>
      </c>
      <c r="AC56" s="46">
        <f>ROUND(IF(AQ56="1",BI56,0),2)</f>
        <v>0</v>
      </c>
      <c r="AD56" s="46">
        <f>ROUND(IF(AQ56="7",BH56,0),2)</f>
        <v>0</v>
      </c>
      <c r="AE56" s="46">
        <f>ROUND(IF(AQ56="7",BI56,0),2)</f>
        <v>0</v>
      </c>
      <c r="AF56" s="46">
        <f>ROUND(IF(AQ56="2",BH56,0),2)</f>
        <v>0</v>
      </c>
      <c r="AG56" s="46">
        <f>ROUND(IF(AQ56="2",BI56,0),2)</f>
        <v>0</v>
      </c>
      <c r="AH56" s="46">
        <f>ROUND(IF(AQ56="0",BJ56,0),2)</f>
        <v>0</v>
      </c>
      <c r="AI56" s="33" t="s">
        <v>99</v>
      </c>
      <c r="AJ56" s="46">
        <f>IF(AN56=0,I56,0)</f>
        <v>0</v>
      </c>
      <c r="AK56" s="46">
        <f>IF(AN56=12,I56,0)</f>
        <v>0</v>
      </c>
      <c r="AL56" s="46">
        <f>IF(AN56=21,I56,0)</f>
        <v>0</v>
      </c>
      <c r="AN56" s="46">
        <v>21</v>
      </c>
      <c r="AO56" s="46">
        <f>H56*0.005978648</f>
        <v>0</v>
      </c>
      <c r="AP56" s="46">
        <f>H56*(1-0.005978648)</f>
        <v>0</v>
      </c>
      <c r="AQ56" s="48" t="s">
        <v>103</v>
      </c>
      <c r="AV56" s="46">
        <f>ROUND(AW56+AX56,2)</f>
        <v>0</v>
      </c>
      <c r="AW56" s="46">
        <f>ROUND(G56*AO56,2)</f>
        <v>0</v>
      </c>
      <c r="AX56" s="46">
        <f>ROUND(G56*AP56,2)</f>
        <v>0</v>
      </c>
      <c r="AY56" s="48" t="s">
        <v>192</v>
      </c>
      <c r="AZ56" s="48" t="s">
        <v>193</v>
      </c>
      <c r="BA56" s="33" t="s">
        <v>110</v>
      </c>
      <c r="BC56" s="46">
        <f>AW56+AX56</f>
        <v>0</v>
      </c>
      <c r="BD56" s="46">
        <f>H56/(100-BE56)*100</f>
        <v>0</v>
      </c>
      <c r="BE56" s="46">
        <v>0</v>
      </c>
      <c r="BF56" s="46">
        <f>56</f>
        <v>56</v>
      </c>
      <c r="BH56" s="46">
        <f>G56*AO56</f>
        <v>0</v>
      </c>
      <c r="BI56" s="46">
        <f>G56*AP56</f>
        <v>0</v>
      </c>
      <c r="BJ56" s="46">
        <f>G56*H56</f>
        <v>0</v>
      </c>
      <c r="BK56" s="48" t="s">
        <v>111</v>
      </c>
      <c r="BL56" s="46">
        <v>87</v>
      </c>
      <c r="BW56" s="46">
        <v>21</v>
      </c>
      <c r="BX56" s="3" t="s">
        <v>199</v>
      </c>
    </row>
    <row r="57" spans="1:76" x14ac:dyDescent="0.25">
      <c r="A57" s="49"/>
      <c r="D57" s="50" t="s">
        <v>200</v>
      </c>
      <c r="E57" s="50"/>
      <c r="G57" s="51">
        <v>24</v>
      </c>
      <c r="L57" s="52"/>
    </row>
    <row r="58" spans="1:76" ht="15" customHeight="1" x14ac:dyDescent="0.25">
      <c r="A58" s="45" t="s">
        <v>140</v>
      </c>
      <c r="B58" s="1" t="s">
        <v>99</v>
      </c>
      <c r="C58" s="1" t="s">
        <v>201</v>
      </c>
      <c r="D58" s="61" t="s">
        <v>202</v>
      </c>
      <c r="E58" s="61"/>
      <c r="F58" s="1" t="s">
        <v>186</v>
      </c>
      <c r="G58" s="46">
        <v>24</v>
      </c>
      <c r="H58" s="46">
        <v>0</v>
      </c>
      <c r="I58" s="46">
        <f>ROUND(G58*H58,2)</f>
        <v>0</v>
      </c>
      <c r="J58" s="46">
        <v>1.2700000000000001E-3</v>
      </c>
      <c r="K58" s="46">
        <v>1.2700000000000001E-3</v>
      </c>
      <c r="L58" s="47" t="s">
        <v>107</v>
      </c>
      <c r="Z58" s="46">
        <f>ROUND(IF(AQ58="5",BJ58,0),2)</f>
        <v>0</v>
      </c>
      <c r="AB58" s="46">
        <f>ROUND(IF(AQ58="1",BH58,0),2)</f>
        <v>0</v>
      </c>
      <c r="AC58" s="46">
        <f>ROUND(IF(AQ58="1",BI58,0),2)</f>
        <v>0</v>
      </c>
      <c r="AD58" s="46">
        <f>ROUND(IF(AQ58="7",BH58,0),2)</f>
        <v>0</v>
      </c>
      <c r="AE58" s="46">
        <f>ROUND(IF(AQ58="7",BI58,0),2)</f>
        <v>0</v>
      </c>
      <c r="AF58" s="46">
        <f>ROUND(IF(AQ58="2",BH58,0),2)</f>
        <v>0</v>
      </c>
      <c r="AG58" s="46">
        <f>ROUND(IF(AQ58="2",BI58,0),2)</f>
        <v>0</v>
      </c>
      <c r="AH58" s="46">
        <f>ROUND(IF(AQ58="0",BJ58,0),2)</f>
        <v>0</v>
      </c>
      <c r="AI58" s="33" t="s">
        <v>99</v>
      </c>
      <c r="AJ58" s="46">
        <f>IF(AN58=0,I58,0)</f>
        <v>0</v>
      </c>
      <c r="AK58" s="46">
        <f>IF(AN58=12,I58,0)</f>
        <v>0</v>
      </c>
      <c r="AL58" s="46">
        <f>IF(AN58=21,I58,0)</f>
        <v>0</v>
      </c>
      <c r="AN58" s="46">
        <v>21</v>
      </c>
      <c r="AO58" s="46">
        <f>H58*1</f>
        <v>0</v>
      </c>
      <c r="AP58" s="46">
        <f>H58*(1-1)</f>
        <v>0</v>
      </c>
      <c r="AQ58" s="48" t="s">
        <v>103</v>
      </c>
      <c r="AV58" s="46">
        <f>ROUND(AW58+AX58,2)</f>
        <v>0</v>
      </c>
      <c r="AW58" s="46">
        <f>ROUND(G58*AO58,2)</f>
        <v>0</v>
      </c>
      <c r="AX58" s="46">
        <f>ROUND(G58*AP58,2)</f>
        <v>0</v>
      </c>
      <c r="AY58" s="48" t="s">
        <v>192</v>
      </c>
      <c r="AZ58" s="48" t="s">
        <v>193</v>
      </c>
      <c r="BA58" s="33" t="s">
        <v>110</v>
      </c>
      <c r="BC58" s="46">
        <f>AW58+AX58</f>
        <v>0</v>
      </c>
      <c r="BD58" s="46">
        <f>H58/(100-BE58)*100</f>
        <v>0</v>
      </c>
      <c r="BE58" s="46">
        <v>0</v>
      </c>
      <c r="BF58" s="46">
        <f>58</f>
        <v>58</v>
      </c>
      <c r="BH58" s="46">
        <f>G58*AO58</f>
        <v>0</v>
      </c>
      <c r="BI58" s="46">
        <f>G58*AP58</f>
        <v>0</v>
      </c>
      <c r="BJ58" s="46">
        <f>G58*H58</f>
        <v>0</v>
      </c>
      <c r="BK58" s="48" t="s">
        <v>158</v>
      </c>
      <c r="BL58" s="46">
        <v>87</v>
      </c>
      <c r="BW58" s="46">
        <v>21</v>
      </c>
      <c r="BX58" s="3" t="s">
        <v>202</v>
      </c>
    </row>
    <row r="59" spans="1:76" x14ac:dyDescent="0.25">
      <c r="A59" s="49"/>
      <c r="D59" s="50" t="s">
        <v>203</v>
      </c>
      <c r="E59" s="50"/>
      <c r="G59" s="51">
        <v>20</v>
      </c>
      <c r="L59" s="52"/>
    </row>
    <row r="60" spans="1:76" ht="15" customHeight="1" x14ac:dyDescent="0.25">
      <c r="A60" s="45" t="s">
        <v>204</v>
      </c>
      <c r="B60" s="1" t="s">
        <v>99</v>
      </c>
      <c r="C60" s="1" t="s">
        <v>205</v>
      </c>
      <c r="D60" s="61" t="s">
        <v>206</v>
      </c>
      <c r="E60" s="61"/>
      <c r="F60" s="1" t="s">
        <v>186</v>
      </c>
      <c r="G60" s="46">
        <v>4</v>
      </c>
      <c r="H60" s="46">
        <v>0</v>
      </c>
      <c r="I60" s="46">
        <f>ROUND(G60*H60,2)</f>
        <v>0</v>
      </c>
      <c r="J60" s="46">
        <v>5.0000000000000001E-4</v>
      </c>
      <c r="K60" s="46">
        <v>5.0000000000000001E-4</v>
      </c>
      <c r="L60" s="47" t="s">
        <v>107</v>
      </c>
      <c r="Z60" s="46">
        <f>ROUND(IF(AQ60="5",BJ60,0),2)</f>
        <v>0</v>
      </c>
      <c r="AB60" s="46">
        <f>ROUND(IF(AQ60="1",BH60,0),2)</f>
        <v>0</v>
      </c>
      <c r="AC60" s="46">
        <f>ROUND(IF(AQ60="1",BI60,0),2)</f>
        <v>0</v>
      </c>
      <c r="AD60" s="46">
        <f>ROUND(IF(AQ60="7",BH60,0),2)</f>
        <v>0</v>
      </c>
      <c r="AE60" s="46">
        <f>ROUND(IF(AQ60="7",BI60,0),2)</f>
        <v>0</v>
      </c>
      <c r="AF60" s="46">
        <f>ROUND(IF(AQ60="2",BH60,0),2)</f>
        <v>0</v>
      </c>
      <c r="AG60" s="46">
        <f>ROUND(IF(AQ60="2",BI60,0),2)</f>
        <v>0</v>
      </c>
      <c r="AH60" s="46">
        <f>ROUND(IF(AQ60="0",BJ60,0),2)</f>
        <v>0</v>
      </c>
      <c r="AI60" s="33" t="s">
        <v>99</v>
      </c>
      <c r="AJ60" s="46">
        <f>IF(AN60=0,I60,0)</f>
        <v>0</v>
      </c>
      <c r="AK60" s="46">
        <f>IF(AN60=12,I60,0)</f>
        <v>0</v>
      </c>
      <c r="AL60" s="46">
        <f>IF(AN60=21,I60,0)</f>
        <v>0</v>
      </c>
      <c r="AN60" s="46">
        <v>21</v>
      </c>
      <c r="AO60" s="46">
        <f>H60*1</f>
        <v>0</v>
      </c>
      <c r="AP60" s="46">
        <f>H60*(1-1)</f>
        <v>0</v>
      </c>
      <c r="AQ60" s="48" t="s">
        <v>103</v>
      </c>
      <c r="AV60" s="46">
        <f>ROUND(AW60+AX60,2)</f>
        <v>0</v>
      </c>
      <c r="AW60" s="46">
        <f>ROUND(G60*AO60,2)</f>
        <v>0</v>
      </c>
      <c r="AX60" s="46">
        <f>ROUND(G60*AP60,2)</f>
        <v>0</v>
      </c>
      <c r="AY60" s="48" t="s">
        <v>192</v>
      </c>
      <c r="AZ60" s="48" t="s">
        <v>193</v>
      </c>
      <c r="BA60" s="33" t="s">
        <v>110</v>
      </c>
      <c r="BC60" s="46">
        <f>AW60+AX60</f>
        <v>0</v>
      </c>
      <c r="BD60" s="46">
        <f>H60/(100-BE60)*100</f>
        <v>0</v>
      </c>
      <c r="BE60" s="46">
        <v>0</v>
      </c>
      <c r="BF60" s="46">
        <f>60</f>
        <v>60</v>
      </c>
      <c r="BH60" s="46">
        <f>G60*AO60</f>
        <v>0</v>
      </c>
      <c r="BI60" s="46">
        <f>G60*AP60</f>
        <v>0</v>
      </c>
      <c r="BJ60" s="46">
        <f>G60*H60</f>
        <v>0</v>
      </c>
      <c r="BK60" s="48" t="s">
        <v>158</v>
      </c>
      <c r="BL60" s="46">
        <v>87</v>
      </c>
      <c r="BW60" s="46">
        <v>21</v>
      </c>
      <c r="BX60" s="3" t="s">
        <v>206</v>
      </c>
    </row>
    <row r="61" spans="1:76" x14ac:dyDescent="0.25">
      <c r="A61" s="49"/>
      <c r="D61" s="50" t="s">
        <v>126</v>
      </c>
      <c r="E61" s="50"/>
      <c r="G61" s="51">
        <v>4</v>
      </c>
      <c r="L61" s="52"/>
    </row>
    <row r="62" spans="1:76" ht="15" customHeight="1" x14ac:dyDescent="0.25">
      <c r="A62" s="41"/>
      <c r="B62" s="42" t="s">
        <v>99</v>
      </c>
      <c r="C62" s="42" t="s">
        <v>207</v>
      </c>
      <c r="D62" s="99" t="s">
        <v>208</v>
      </c>
      <c r="E62" s="99"/>
      <c r="F62" s="43" t="s">
        <v>64</v>
      </c>
      <c r="G62" s="43" t="s">
        <v>64</v>
      </c>
      <c r="H62" s="43" t="s">
        <v>64</v>
      </c>
      <c r="I62" s="26">
        <f>SUM(I63:I88)</f>
        <v>0</v>
      </c>
      <c r="J62" s="33"/>
      <c r="K62" s="33"/>
      <c r="L62" s="44"/>
      <c r="AI62" s="33" t="s">
        <v>99</v>
      </c>
      <c r="AS62" s="26">
        <f>SUM(AJ63:AJ88)</f>
        <v>0</v>
      </c>
      <c r="AT62" s="26">
        <f>SUM(AK63:AK88)</f>
        <v>0</v>
      </c>
      <c r="AU62" s="26">
        <f>SUM(AL63:AL88)</f>
        <v>0</v>
      </c>
    </row>
    <row r="63" spans="1:76" ht="15" customHeight="1" x14ac:dyDescent="0.25">
      <c r="A63" s="45" t="s">
        <v>160</v>
      </c>
      <c r="B63" s="1" t="s">
        <v>99</v>
      </c>
      <c r="C63" s="1" t="s">
        <v>209</v>
      </c>
      <c r="D63" s="61" t="s">
        <v>210</v>
      </c>
      <c r="E63" s="61"/>
      <c r="F63" s="1" t="s">
        <v>186</v>
      </c>
      <c r="G63" s="46">
        <v>1</v>
      </c>
      <c r="H63" s="46">
        <v>0</v>
      </c>
      <c r="I63" s="46">
        <f>ROUND(G63*H63,2)</f>
        <v>0</v>
      </c>
      <c r="J63" s="46">
        <v>2.1000000000000001E-4</v>
      </c>
      <c r="K63" s="46">
        <v>2.1000000000000001E-4</v>
      </c>
      <c r="L63" s="47" t="s">
        <v>107</v>
      </c>
      <c r="Z63" s="46">
        <f>ROUND(IF(AQ63="5",BJ63,0),2)</f>
        <v>0</v>
      </c>
      <c r="AB63" s="46">
        <f>ROUND(IF(AQ63="1",BH63,0),2)</f>
        <v>0</v>
      </c>
      <c r="AC63" s="46">
        <f>ROUND(IF(AQ63="1",BI63,0),2)</f>
        <v>0</v>
      </c>
      <c r="AD63" s="46">
        <f>ROUND(IF(AQ63="7",BH63,0),2)</f>
        <v>0</v>
      </c>
      <c r="AE63" s="46">
        <f>ROUND(IF(AQ63="7",BI63,0),2)</f>
        <v>0</v>
      </c>
      <c r="AF63" s="46">
        <f>ROUND(IF(AQ63="2",BH63,0),2)</f>
        <v>0</v>
      </c>
      <c r="AG63" s="46">
        <f>ROUND(IF(AQ63="2",BI63,0),2)</f>
        <v>0</v>
      </c>
      <c r="AH63" s="46">
        <f>ROUND(IF(AQ63="0",BJ63,0),2)</f>
        <v>0</v>
      </c>
      <c r="AI63" s="33" t="s">
        <v>99</v>
      </c>
      <c r="AJ63" s="46">
        <f>IF(AN63=0,I63,0)</f>
        <v>0</v>
      </c>
      <c r="AK63" s="46">
        <f>IF(AN63=12,I63,0)</f>
        <v>0</v>
      </c>
      <c r="AL63" s="46">
        <f>IF(AN63=21,I63,0)</f>
        <v>0</v>
      </c>
      <c r="AN63" s="46">
        <v>21</v>
      </c>
      <c r="AO63" s="46">
        <f>H63*0.077524013</f>
        <v>0</v>
      </c>
      <c r="AP63" s="46">
        <f>H63*(1-0.077524013)</f>
        <v>0</v>
      </c>
      <c r="AQ63" s="48" t="s">
        <v>103</v>
      </c>
      <c r="AV63" s="46">
        <f>ROUND(AW63+AX63,2)</f>
        <v>0</v>
      </c>
      <c r="AW63" s="46">
        <f>ROUND(G63*AO63,2)</f>
        <v>0</v>
      </c>
      <c r="AX63" s="46">
        <f>ROUND(G63*AP63,2)</f>
        <v>0</v>
      </c>
      <c r="AY63" s="48" t="s">
        <v>211</v>
      </c>
      <c r="AZ63" s="48" t="s">
        <v>193</v>
      </c>
      <c r="BA63" s="33" t="s">
        <v>110</v>
      </c>
      <c r="BC63" s="46">
        <f>AW63+AX63</f>
        <v>0</v>
      </c>
      <c r="BD63" s="46">
        <f>H63/(100-BE63)*100</f>
        <v>0</v>
      </c>
      <c r="BE63" s="46">
        <v>0</v>
      </c>
      <c r="BF63" s="46">
        <f>63</f>
        <v>63</v>
      </c>
      <c r="BH63" s="46">
        <f>G63*AO63</f>
        <v>0</v>
      </c>
      <c r="BI63" s="46">
        <f>G63*AP63</f>
        <v>0</v>
      </c>
      <c r="BJ63" s="46">
        <f>G63*H63</f>
        <v>0</v>
      </c>
      <c r="BK63" s="48" t="s">
        <v>111</v>
      </c>
      <c r="BL63" s="46">
        <v>89</v>
      </c>
      <c r="BW63" s="46">
        <v>21</v>
      </c>
      <c r="BX63" s="3" t="s">
        <v>210</v>
      </c>
    </row>
    <row r="64" spans="1:76" x14ac:dyDescent="0.25">
      <c r="A64" s="49"/>
      <c r="D64" s="50" t="s">
        <v>103</v>
      </c>
      <c r="E64" s="50"/>
      <c r="G64" s="51">
        <v>1</v>
      </c>
      <c r="L64" s="52"/>
    </row>
    <row r="65" spans="1:76" ht="15" customHeight="1" x14ac:dyDescent="0.25">
      <c r="A65" s="45" t="s">
        <v>203</v>
      </c>
      <c r="B65" s="1" t="s">
        <v>99</v>
      </c>
      <c r="C65" s="1" t="s">
        <v>212</v>
      </c>
      <c r="D65" s="61" t="s">
        <v>213</v>
      </c>
      <c r="E65" s="61"/>
      <c r="F65" s="1" t="s">
        <v>186</v>
      </c>
      <c r="G65" s="46">
        <v>1</v>
      </c>
      <c r="H65" s="46">
        <v>0</v>
      </c>
      <c r="I65" s="46">
        <f>ROUND(G65*H65,2)</f>
        <v>0</v>
      </c>
      <c r="J65" s="46">
        <v>2.5000000000000001E-3</v>
      </c>
      <c r="K65" s="46">
        <v>2.5000000000000001E-3</v>
      </c>
      <c r="L65" s="47" t="s">
        <v>107</v>
      </c>
      <c r="Z65" s="46">
        <f>ROUND(IF(AQ65="5",BJ65,0),2)</f>
        <v>0</v>
      </c>
      <c r="AB65" s="46">
        <f>ROUND(IF(AQ65="1",BH65,0),2)</f>
        <v>0</v>
      </c>
      <c r="AC65" s="46">
        <f>ROUND(IF(AQ65="1",BI65,0),2)</f>
        <v>0</v>
      </c>
      <c r="AD65" s="46">
        <f>ROUND(IF(AQ65="7",BH65,0),2)</f>
        <v>0</v>
      </c>
      <c r="AE65" s="46">
        <f>ROUND(IF(AQ65="7",BI65,0),2)</f>
        <v>0</v>
      </c>
      <c r="AF65" s="46">
        <f>ROUND(IF(AQ65="2",BH65,0),2)</f>
        <v>0</v>
      </c>
      <c r="AG65" s="46">
        <f>ROUND(IF(AQ65="2",BI65,0),2)</f>
        <v>0</v>
      </c>
      <c r="AH65" s="46">
        <f>ROUND(IF(AQ65="0",BJ65,0),2)</f>
        <v>0</v>
      </c>
      <c r="AI65" s="33" t="s">
        <v>99</v>
      </c>
      <c r="AJ65" s="46">
        <f>IF(AN65=0,I65,0)</f>
        <v>0</v>
      </c>
      <c r="AK65" s="46">
        <f>IF(AN65=12,I65,0)</f>
        <v>0</v>
      </c>
      <c r="AL65" s="46">
        <f>IF(AN65=21,I65,0)</f>
        <v>0</v>
      </c>
      <c r="AN65" s="46">
        <v>21</v>
      </c>
      <c r="AO65" s="46">
        <f>H65*1</f>
        <v>0</v>
      </c>
      <c r="AP65" s="46">
        <f>H65*(1-1)</f>
        <v>0</v>
      </c>
      <c r="AQ65" s="48" t="s">
        <v>103</v>
      </c>
      <c r="AV65" s="46">
        <f>ROUND(AW65+AX65,2)</f>
        <v>0</v>
      </c>
      <c r="AW65" s="46">
        <f>ROUND(G65*AO65,2)</f>
        <v>0</v>
      </c>
      <c r="AX65" s="46">
        <f>ROUND(G65*AP65,2)</f>
        <v>0</v>
      </c>
      <c r="AY65" s="48" t="s">
        <v>211</v>
      </c>
      <c r="AZ65" s="48" t="s">
        <v>193</v>
      </c>
      <c r="BA65" s="33" t="s">
        <v>110</v>
      </c>
      <c r="BC65" s="46">
        <f>AW65+AX65</f>
        <v>0</v>
      </c>
      <c r="BD65" s="46">
        <f>H65/(100-BE65)*100</f>
        <v>0</v>
      </c>
      <c r="BE65" s="46">
        <v>0</v>
      </c>
      <c r="BF65" s="46">
        <f>65</f>
        <v>65</v>
      </c>
      <c r="BH65" s="46">
        <f>G65*AO65</f>
        <v>0</v>
      </c>
      <c r="BI65" s="46">
        <f>G65*AP65</f>
        <v>0</v>
      </c>
      <c r="BJ65" s="46">
        <f>G65*H65</f>
        <v>0</v>
      </c>
      <c r="BK65" s="48" t="s">
        <v>158</v>
      </c>
      <c r="BL65" s="46">
        <v>89</v>
      </c>
      <c r="BW65" s="46">
        <v>21</v>
      </c>
      <c r="BX65" s="3" t="s">
        <v>213</v>
      </c>
    </row>
    <row r="66" spans="1:76" x14ac:dyDescent="0.25">
      <c r="A66" s="49"/>
      <c r="D66" s="50" t="s">
        <v>103</v>
      </c>
      <c r="E66" s="50"/>
      <c r="G66" s="51">
        <v>1</v>
      </c>
      <c r="L66" s="52"/>
    </row>
    <row r="67" spans="1:76" ht="15" customHeight="1" x14ac:dyDescent="0.25">
      <c r="A67" s="45" t="s">
        <v>214</v>
      </c>
      <c r="B67" s="1" t="s">
        <v>99</v>
      </c>
      <c r="C67" s="1" t="s">
        <v>215</v>
      </c>
      <c r="D67" s="61" t="s">
        <v>216</v>
      </c>
      <c r="E67" s="61"/>
      <c r="F67" s="1" t="s">
        <v>186</v>
      </c>
      <c r="G67" s="46">
        <v>1</v>
      </c>
      <c r="H67" s="46">
        <v>0</v>
      </c>
      <c r="I67" s="46">
        <f>ROUND(G67*H67,2)</f>
        <v>0</v>
      </c>
      <c r="J67" s="46">
        <v>2.5000000000000001E-3</v>
      </c>
      <c r="K67" s="46">
        <v>2.5000000000000001E-3</v>
      </c>
      <c r="L67" s="47" t="s">
        <v>107</v>
      </c>
      <c r="Z67" s="46">
        <f>ROUND(IF(AQ67="5",BJ67,0),2)</f>
        <v>0</v>
      </c>
      <c r="AB67" s="46">
        <f>ROUND(IF(AQ67="1",BH67,0),2)</f>
        <v>0</v>
      </c>
      <c r="AC67" s="46">
        <f>ROUND(IF(AQ67="1",BI67,0),2)</f>
        <v>0</v>
      </c>
      <c r="AD67" s="46">
        <f>ROUND(IF(AQ67="7",BH67,0),2)</f>
        <v>0</v>
      </c>
      <c r="AE67" s="46">
        <f>ROUND(IF(AQ67="7",BI67,0),2)</f>
        <v>0</v>
      </c>
      <c r="AF67" s="46">
        <f>ROUND(IF(AQ67="2",BH67,0),2)</f>
        <v>0</v>
      </c>
      <c r="AG67" s="46">
        <f>ROUND(IF(AQ67="2",BI67,0),2)</f>
        <v>0</v>
      </c>
      <c r="AH67" s="46">
        <f>ROUND(IF(AQ67="0",BJ67,0),2)</f>
        <v>0</v>
      </c>
      <c r="AI67" s="33" t="s">
        <v>99</v>
      </c>
      <c r="AJ67" s="46">
        <f>IF(AN67=0,I67,0)</f>
        <v>0</v>
      </c>
      <c r="AK67" s="46">
        <f>IF(AN67=12,I67,0)</f>
        <v>0</v>
      </c>
      <c r="AL67" s="46">
        <f>IF(AN67=21,I67,0)</f>
        <v>0</v>
      </c>
      <c r="AN67" s="46">
        <v>21</v>
      </c>
      <c r="AO67" s="46">
        <f>H67*1</f>
        <v>0</v>
      </c>
      <c r="AP67" s="46">
        <f>H67*(1-1)</f>
        <v>0</v>
      </c>
      <c r="AQ67" s="48" t="s">
        <v>103</v>
      </c>
      <c r="AV67" s="46">
        <f>ROUND(AW67+AX67,2)</f>
        <v>0</v>
      </c>
      <c r="AW67" s="46">
        <f>ROUND(G67*AO67,2)</f>
        <v>0</v>
      </c>
      <c r="AX67" s="46">
        <f>ROUND(G67*AP67,2)</f>
        <v>0</v>
      </c>
      <c r="AY67" s="48" t="s">
        <v>211</v>
      </c>
      <c r="AZ67" s="48" t="s">
        <v>193</v>
      </c>
      <c r="BA67" s="33" t="s">
        <v>110</v>
      </c>
      <c r="BC67" s="46">
        <f>AW67+AX67</f>
        <v>0</v>
      </c>
      <c r="BD67" s="46">
        <f>H67/(100-BE67)*100</f>
        <v>0</v>
      </c>
      <c r="BE67" s="46">
        <v>0</v>
      </c>
      <c r="BF67" s="46">
        <f>67</f>
        <v>67</v>
      </c>
      <c r="BH67" s="46">
        <f>G67*AO67</f>
        <v>0</v>
      </c>
      <c r="BI67" s="46">
        <f>G67*AP67</f>
        <v>0</v>
      </c>
      <c r="BJ67" s="46">
        <f>G67*H67</f>
        <v>0</v>
      </c>
      <c r="BK67" s="48" t="s">
        <v>158</v>
      </c>
      <c r="BL67" s="46">
        <v>89</v>
      </c>
      <c r="BW67" s="46">
        <v>21</v>
      </c>
      <c r="BX67" s="3" t="s">
        <v>216</v>
      </c>
    </row>
    <row r="68" spans="1:76" x14ac:dyDescent="0.25">
      <c r="A68" s="49"/>
      <c r="D68" s="50" t="s">
        <v>103</v>
      </c>
      <c r="E68" s="50"/>
      <c r="G68" s="51">
        <v>1</v>
      </c>
      <c r="L68" s="52"/>
    </row>
    <row r="69" spans="1:76" ht="15" customHeight="1" x14ac:dyDescent="0.25">
      <c r="A69" s="45" t="s">
        <v>217</v>
      </c>
      <c r="B69" s="1" t="s">
        <v>99</v>
      </c>
      <c r="C69" s="1" t="s">
        <v>218</v>
      </c>
      <c r="D69" s="61" t="s">
        <v>219</v>
      </c>
      <c r="E69" s="61"/>
      <c r="F69" s="1" t="s">
        <v>180</v>
      </c>
      <c r="G69" s="46">
        <v>30</v>
      </c>
      <c r="H69" s="46">
        <v>0</v>
      </c>
      <c r="I69" s="46">
        <f>ROUND(G69*H69,2)</f>
        <v>0</v>
      </c>
      <c r="J69" s="46">
        <v>8.0000000000000007E-5</v>
      </c>
      <c r="K69" s="46">
        <v>8.0000000000000007E-5</v>
      </c>
      <c r="L69" s="47" t="s">
        <v>107</v>
      </c>
      <c r="Z69" s="46">
        <f>ROUND(IF(AQ69="5",BJ69,0),2)</f>
        <v>0</v>
      </c>
      <c r="AB69" s="46">
        <f>ROUND(IF(AQ69="1",BH69,0),2)</f>
        <v>0</v>
      </c>
      <c r="AC69" s="46">
        <f>ROUND(IF(AQ69="1",BI69,0),2)</f>
        <v>0</v>
      </c>
      <c r="AD69" s="46">
        <f>ROUND(IF(AQ69="7",BH69,0),2)</f>
        <v>0</v>
      </c>
      <c r="AE69" s="46">
        <f>ROUND(IF(AQ69="7",BI69,0),2)</f>
        <v>0</v>
      </c>
      <c r="AF69" s="46">
        <f>ROUND(IF(AQ69="2",BH69,0),2)</f>
        <v>0</v>
      </c>
      <c r="AG69" s="46">
        <f>ROUND(IF(AQ69="2",BI69,0),2)</f>
        <v>0</v>
      </c>
      <c r="AH69" s="46">
        <f>ROUND(IF(AQ69="0",BJ69,0),2)</f>
        <v>0</v>
      </c>
      <c r="AI69" s="33" t="s">
        <v>99</v>
      </c>
      <c r="AJ69" s="46">
        <f>IF(AN69=0,I69,0)</f>
        <v>0</v>
      </c>
      <c r="AK69" s="46">
        <f>IF(AN69=12,I69,0)</f>
        <v>0</v>
      </c>
      <c r="AL69" s="46">
        <f>IF(AN69=21,I69,0)</f>
        <v>0</v>
      </c>
      <c r="AN69" s="46">
        <v>21</v>
      </c>
      <c r="AO69" s="46">
        <f>H69*0.561538462</f>
        <v>0</v>
      </c>
      <c r="AP69" s="46">
        <f>H69*(1-0.561538462)</f>
        <v>0</v>
      </c>
      <c r="AQ69" s="48" t="s">
        <v>103</v>
      </c>
      <c r="AV69" s="46">
        <f>ROUND(AW69+AX69,2)</f>
        <v>0</v>
      </c>
      <c r="AW69" s="46">
        <f>ROUND(G69*AO69,2)</f>
        <v>0</v>
      </c>
      <c r="AX69" s="46">
        <f>ROUND(G69*AP69,2)</f>
        <v>0</v>
      </c>
      <c r="AY69" s="48" t="s">
        <v>211</v>
      </c>
      <c r="AZ69" s="48" t="s">
        <v>193</v>
      </c>
      <c r="BA69" s="33" t="s">
        <v>110</v>
      </c>
      <c r="BC69" s="46">
        <f>AW69+AX69</f>
        <v>0</v>
      </c>
      <c r="BD69" s="46">
        <f>H69/(100-BE69)*100</f>
        <v>0</v>
      </c>
      <c r="BE69" s="46">
        <v>0</v>
      </c>
      <c r="BF69" s="46">
        <f>69</f>
        <v>69</v>
      </c>
      <c r="BH69" s="46">
        <f>G69*AO69</f>
        <v>0</v>
      </c>
      <c r="BI69" s="46">
        <f>G69*AP69</f>
        <v>0</v>
      </c>
      <c r="BJ69" s="46">
        <f>G69*H69</f>
        <v>0</v>
      </c>
      <c r="BK69" s="48" t="s">
        <v>111</v>
      </c>
      <c r="BL69" s="46">
        <v>89</v>
      </c>
      <c r="BW69" s="46">
        <v>21</v>
      </c>
      <c r="BX69" s="3" t="s">
        <v>219</v>
      </c>
    </row>
    <row r="70" spans="1:76" x14ac:dyDescent="0.25">
      <c r="A70" s="49"/>
      <c r="D70" s="50" t="s">
        <v>220</v>
      </c>
      <c r="E70" s="50"/>
      <c r="G70" s="51">
        <v>30</v>
      </c>
      <c r="L70" s="52"/>
    </row>
    <row r="71" spans="1:76" ht="15" customHeight="1" x14ac:dyDescent="0.25">
      <c r="A71" s="45" t="s">
        <v>221</v>
      </c>
      <c r="B71" s="1" t="s">
        <v>99</v>
      </c>
      <c r="C71" s="1" t="s">
        <v>222</v>
      </c>
      <c r="D71" s="61" t="s">
        <v>223</v>
      </c>
      <c r="E71" s="61"/>
      <c r="F71" s="1" t="s">
        <v>180</v>
      </c>
      <c r="G71" s="46">
        <v>30</v>
      </c>
      <c r="H71" s="46">
        <v>0</v>
      </c>
      <c r="I71" s="46">
        <f>ROUND(G71*H71,2)</f>
        <v>0</v>
      </c>
      <c r="J71" s="46">
        <v>0</v>
      </c>
      <c r="K71" s="46">
        <v>0</v>
      </c>
      <c r="L71" s="47" t="s">
        <v>107</v>
      </c>
      <c r="Z71" s="46">
        <f>ROUND(IF(AQ71="5",BJ71,0),2)</f>
        <v>0</v>
      </c>
      <c r="AB71" s="46">
        <f>ROUND(IF(AQ71="1",BH71,0),2)</f>
        <v>0</v>
      </c>
      <c r="AC71" s="46">
        <f>ROUND(IF(AQ71="1",BI71,0),2)</f>
        <v>0</v>
      </c>
      <c r="AD71" s="46">
        <f>ROUND(IF(AQ71="7",BH71,0),2)</f>
        <v>0</v>
      </c>
      <c r="AE71" s="46">
        <f>ROUND(IF(AQ71="7",BI71,0),2)</f>
        <v>0</v>
      </c>
      <c r="AF71" s="46">
        <f>ROUND(IF(AQ71="2",BH71,0),2)</f>
        <v>0</v>
      </c>
      <c r="AG71" s="46">
        <f>ROUND(IF(AQ71="2",BI71,0),2)</f>
        <v>0</v>
      </c>
      <c r="AH71" s="46">
        <f>ROUND(IF(AQ71="0",BJ71,0),2)</f>
        <v>0</v>
      </c>
      <c r="AI71" s="33" t="s">
        <v>99</v>
      </c>
      <c r="AJ71" s="46">
        <f>IF(AN71=0,I71,0)</f>
        <v>0</v>
      </c>
      <c r="AK71" s="46">
        <f>IF(AN71=12,I71,0)</f>
        <v>0</v>
      </c>
      <c r="AL71" s="46">
        <f>IF(AN71=21,I71,0)</f>
        <v>0</v>
      </c>
      <c r="AN71" s="46">
        <v>21</v>
      </c>
      <c r="AO71" s="46">
        <f>H71*0.28358209</f>
        <v>0</v>
      </c>
      <c r="AP71" s="46">
        <f>H71*(1-0.28358209)</f>
        <v>0</v>
      </c>
      <c r="AQ71" s="48" t="s">
        <v>103</v>
      </c>
      <c r="AV71" s="46">
        <f>ROUND(AW71+AX71,2)</f>
        <v>0</v>
      </c>
      <c r="AW71" s="46">
        <f>ROUND(G71*AO71,2)</f>
        <v>0</v>
      </c>
      <c r="AX71" s="46">
        <f>ROUND(G71*AP71,2)</f>
        <v>0</v>
      </c>
      <c r="AY71" s="48" t="s">
        <v>211</v>
      </c>
      <c r="AZ71" s="48" t="s">
        <v>193</v>
      </c>
      <c r="BA71" s="33" t="s">
        <v>110</v>
      </c>
      <c r="BC71" s="46">
        <f>AW71+AX71</f>
        <v>0</v>
      </c>
      <c r="BD71" s="46">
        <f>H71/(100-BE71)*100</f>
        <v>0</v>
      </c>
      <c r="BE71" s="46">
        <v>0</v>
      </c>
      <c r="BF71" s="46">
        <f>71</f>
        <v>71</v>
      </c>
      <c r="BH71" s="46">
        <f>G71*AO71</f>
        <v>0</v>
      </c>
      <c r="BI71" s="46">
        <f>G71*AP71</f>
        <v>0</v>
      </c>
      <c r="BJ71" s="46">
        <f>G71*H71</f>
        <v>0</v>
      </c>
      <c r="BK71" s="48" t="s">
        <v>111</v>
      </c>
      <c r="BL71" s="46">
        <v>89</v>
      </c>
      <c r="BW71" s="46">
        <v>21</v>
      </c>
      <c r="BX71" s="3" t="s">
        <v>223</v>
      </c>
    </row>
    <row r="72" spans="1:76" x14ac:dyDescent="0.25">
      <c r="A72" s="49"/>
      <c r="D72" s="50" t="s">
        <v>220</v>
      </c>
      <c r="E72" s="50"/>
      <c r="G72" s="51">
        <v>30</v>
      </c>
      <c r="L72" s="52"/>
    </row>
    <row r="73" spans="1:76" ht="15" customHeight="1" x14ac:dyDescent="0.25">
      <c r="A73" s="45" t="s">
        <v>183</v>
      </c>
      <c r="B73" s="1" t="s">
        <v>99</v>
      </c>
      <c r="C73" s="1" t="s">
        <v>224</v>
      </c>
      <c r="D73" s="61" t="s">
        <v>225</v>
      </c>
      <c r="E73" s="61"/>
      <c r="F73" s="1" t="s">
        <v>180</v>
      </c>
      <c r="G73" s="46">
        <v>23</v>
      </c>
      <c r="H73" s="46">
        <v>0</v>
      </c>
      <c r="I73" s="46">
        <f>ROUND(G73*H73,2)</f>
        <v>0</v>
      </c>
      <c r="J73" s="46">
        <v>0</v>
      </c>
      <c r="K73" s="46">
        <v>0</v>
      </c>
      <c r="L73" s="47" t="s">
        <v>107</v>
      </c>
      <c r="Z73" s="46">
        <f>ROUND(IF(AQ73="5",BJ73,0),2)</f>
        <v>0</v>
      </c>
      <c r="AB73" s="46">
        <f>ROUND(IF(AQ73="1",BH73,0),2)</f>
        <v>0</v>
      </c>
      <c r="AC73" s="46">
        <f>ROUND(IF(AQ73="1",BI73,0),2)</f>
        <v>0</v>
      </c>
      <c r="AD73" s="46">
        <f>ROUND(IF(AQ73="7",BH73,0),2)</f>
        <v>0</v>
      </c>
      <c r="AE73" s="46">
        <f>ROUND(IF(AQ73="7",BI73,0),2)</f>
        <v>0</v>
      </c>
      <c r="AF73" s="46">
        <f>ROUND(IF(AQ73="2",BH73,0),2)</f>
        <v>0</v>
      </c>
      <c r="AG73" s="46">
        <f>ROUND(IF(AQ73="2",BI73,0),2)</f>
        <v>0</v>
      </c>
      <c r="AH73" s="46">
        <f>ROUND(IF(AQ73="0",BJ73,0),2)</f>
        <v>0</v>
      </c>
      <c r="AI73" s="33" t="s">
        <v>99</v>
      </c>
      <c r="AJ73" s="46">
        <f>IF(AN73=0,I73,0)</f>
        <v>0</v>
      </c>
      <c r="AK73" s="46">
        <f>IF(AN73=12,I73,0)</f>
        <v>0</v>
      </c>
      <c r="AL73" s="46">
        <f>IF(AN73=21,I73,0)</f>
        <v>0</v>
      </c>
      <c r="AN73" s="46">
        <v>21</v>
      </c>
      <c r="AO73" s="46">
        <f>H73*0.021829436</f>
        <v>0</v>
      </c>
      <c r="AP73" s="46">
        <f>H73*(1-0.021829436)</f>
        <v>0</v>
      </c>
      <c r="AQ73" s="48" t="s">
        <v>103</v>
      </c>
      <c r="AV73" s="46">
        <f>ROUND(AW73+AX73,2)</f>
        <v>0</v>
      </c>
      <c r="AW73" s="46">
        <f>ROUND(G73*AO73,2)</f>
        <v>0</v>
      </c>
      <c r="AX73" s="46">
        <f>ROUND(G73*AP73,2)</f>
        <v>0</v>
      </c>
      <c r="AY73" s="48" t="s">
        <v>211</v>
      </c>
      <c r="AZ73" s="48" t="s">
        <v>193</v>
      </c>
      <c r="BA73" s="33" t="s">
        <v>110</v>
      </c>
      <c r="BC73" s="46">
        <f>AW73+AX73</f>
        <v>0</v>
      </c>
      <c r="BD73" s="46">
        <f>H73/(100-BE73)*100</f>
        <v>0</v>
      </c>
      <c r="BE73" s="46">
        <v>0</v>
      </c>
      <c r="BF73" s="46">
        <f>73</f>
        <v>73</v>
      </c>
      <c r="BH73" s="46">
        <f>G73*AO73</f>
        <v>0</v>
      </c>
      <c r="BI73" s="46">
        <f>G73*AP73</f>
        <v>0</v>
      </c>
      <c r="BJ73" s="46">
        <f>G73*H73</f>
        <v>0</v>
      </c>
      <c r="BK73" s="48" t="s">
        <v>111</v>
      </c>
      <c r="BL73" s="46">
        <v>89</v>
      </c>
      <c r="BW73" s="46">
        <v>21</v>
      </c>
      <c r="BX73" s="3" t="s">
        <v>225</v>
      </c>
    </row>
    <row r="74" spans="1:76" x14ac:dyDescent="0.25">
      <c r="A74" s="49"/>
      <c r="D74" s="50" t="s">
        <v>221</v>
      </c>
      <c r="E74" s="50"/>
      <c r="G74" s="51">
        <v>23</v>
      </c>
      <c r="L74" s="52"/>
    </row>
    <row r="75" spans="1:76" ht="15" customHeight="1" x14ac:dyDescent="0.25">
      <c r="A75" s="45" t="s">
        <v>226</v>
      </c>
      <c r="B75" s="1" t="s">
        <v>99</v>
      </c>
      <c r="C75" s="1" t="s">
        <v>227</v>
      </c>
      <c r="D75" s="61" t="s">
        <v>228</v>
      </c>
      <c r="E75" s="61"/>
      <c r="F75" s="1" t="s">
        <v>186</v>
      </c>
      <c r="G75" s="46">
        <v>1</v>
      </c>
      <c r="H75" s="46">
        <v>0</v>
      </c>
      <c r="I75" s="46">
        <f>ROUND(G75*H75,2)</f>
        <v>0</v>
      </c>
      <c r="J75" s="46">
        <v>0.12303</v>
      </c>
      <c r="K75" s="46">
        <v>0.12303</v>
      </c>
      <c r="L75" s="47" t="s">
        <v>107</v>
      </c>
      <c r="Z75" s="46">
        <f>ROUND(IF(AQ75="5",BJ75,0),2)</f>
        <v>0</v>
      </c>
      <c r="AB75" s="46">
        <f>ROUND(IF(AQ75="1",BH75,0),2)</f>
        <v>0</v>
      </c>
      <c r="AC75" s="46">
        <f>ROUND(IF(AQ75="1",BI75,0),2)</f>
        <v>0</v>
      </c>
      <c r="AD75" s="46">
        <f>ROUND(IF(AQ75="7",BH75,0),2)</f>
        <v>0</v>
      </c>
      <c r="AE75" s="46">
        <f>ROUND(IF(AQ75="7",BI75,0),2)</f>
        <v>0</v>
      </c>
      <c r="AF75" s="46">
        <f>ROUND(IF(AQ75="2",BH75,0),2)</f>
        <v>0</v>
      </c>
      <c r="AG75" s="46">
        <f>ROUND(IF(AQ75="2",BI75,0),2)</f>
        <v>0</v>
      </c>
      <c r="AH75" s="46">
        <f>ROUND(IF(AQ75="0",BJ75,0),2)</f>
        <v>0</v>
      </c>
      <c r="AI75" s="33" t="s">
        <v>99</v>
      </c>
      <c r="AJ75" s="46">
        <f>IF(AN75=0,I75,0)</f>
        <v>0</v>
      </c>
      <c r="AK75" s="46">
        <f>IF(AN75=12,I75,0)</f>
        <v>0</v>
      </c>
      <c r="AL75" s="46">
        <f>IF(AN75=21,I75,0)</f>
        <v>0</v>
      </c>
      <c r="AN75" s="46">
        <v>21</v>
      </c>
      <c r="AO75" s="46">
        <f>H75*0.375186047</f>
        <v>0</v>
      </c>
      <c r="AP75" s="46">
        <f>H75*(1-0.375186047)</f>
        <v>0</v>
      </c>
      <c r="AQ75" s="48" t="s">
        <v>103</v>
      </c>
      <c r="AV75" s="46">
        <f>ROUND(AW75+AX75,2)</f>
        <v>0</v>
      </c>
      <c r="AW75" s="46">
        <f>ROUND(G75*AO75,2)</f>
        <v>0</v>
      </c>
      <c r="AX75" s="46">
        <f>ROUND(G75*AP75,2)</f>
        <v>0</v>
      </c>
      <c r="AY75" s="48" t="s">
        <v>211</v>
      </c>
      <c r="AZ75" s="48" t="s">
        <v>193</v>
      </c>
      <c r="BA75" s="33" t="s">
        <v>110</v>
      </c>
      <c r="BC75" s="46">
        <f>AW75+AX75</f>
        <v>0</v>
      </c>
      <c r="BD75" s="46">
        <f>H75/(100-BE75)*100</f>
        <v>0</v>
      </c>
      <c r="BE75" s="46">
        <v>0</v>
      </c>
      <c r="BF75" s="46">
        <f>75</f>
        <v>75</v>
      </c>
      <c r="BH75" s="46">
        <f>G75*AO75</f>
        <v>0</v>
      </c>
      <c r="BI75" s="46">
        <f>G75*AP75</f>
        <v>0</v>
      </c>
      <c r="BJ75" s="46">
        <f>G75*H75</f>
        <v>0</v>
      </c>
      <c r="BK75" s="48" t="s">
        <v>111</v>
      </c>
      <c r="BL75" s="46">
        <v>89</v>
      </c>
      <c r="BW75" s="46">
        <v>21</v>
      </c>
      <c r="BX75" s="3" t="s">
        <v>228</v>
      </c>
    </row>
    <row r="76" spans="1:76" x14ac:dyDescent="0.25">
      <c r="A76" s="49"/>
      <c r="D76" s="50" t="s">
        <v>103</v>
      </c>
      <c r="E76" s="50"/>
      <c r="G76" s="51">
        <v>1</v>
      </c>
      <c r="L76" s="52"/>
    </row>
    <row r="77" spans="1:76" ht="15" customHeight="1" x14ac:dyDescent="0.25">
      <c r="A77" s="45" t="s">
        <v>229</v>
      </c>
      <c r="B77" s="1" t="s">
        <v>99</v>
      </c>
      <c r="C77" s="1" t="s">
        <v>230</v>
      </c>
      <c r="D77" s="61" t="s">
        <v>231</v>
      </c>
      <c r="E77" s="61"/>
      <c r="F77" s="1" t="s">
        <v>186</v>
      </c>
      <c r="G77" s="46">
        <v>1</v>
      </c>
      <c r="H77" s="46">
        <v>0</v>
      </c>
      <c r="I77" s="46">
        <f>ROUND(G77*H77,2)</f>
        <v>0</v>
      </c>
      <c r="J77" s="46">
        <v>1.1299999999999999E-2</v>
      </c>
      <c r="K77" s="46">
        <v>1.1299999999999999E-2</v>
      </c>
      <c r="L77" s="47" t="s">
        <v>107</v>
      </c>
      <c r="Z77" s="46">
        <f>ROUND(IF(AQ77="5",BJ77,0),2)</f>
        <v>0</v>
      </c>
      <c r="AB77" s="46">
        <f>ROUND(IF(AQ77="1",BH77,0),2)</f>
        <v>0</v>
      </c>
      <c r="AC77" s="46">
        <f>ROUND(IF(AQ77="1",BI77,0),2)</f>
        <v>0</v>
      </c>
      <c r="AD77" s="46">
        <f>ROUND(IF(AQ77="7",BH77,0),2)</f>
        <v>0</v>
      </c>
      <c r="AE77" s="46">
        <f>ROUND(IF(AQ77="7",BI77,0),2)</f>
        <v>0</v>
      </c>
      <c r="AF77" s="46">
        <f>ROUND(IF(AQ77="2",BH77,0),2)</f>
        <v>0</v>
      </c>
      <c r="AG77" s="46">
        <f>ROUND(IF(AQ77="2",BI77,0),2)</f>
        <v>0</v>
      </c>
      <c r="AH77" s="46">
        <f>ROUND(IF(AQ77="0",BJ77,0),2)</f>
        <v>0</v>
      </c>
      <c r="AI77" s="33" t="s">
        <v>99</v>
      </c>
      <c r="AJ77" s="46">
        <f>IF(AN77=0,I77,0)</f>
        <v>0</v>
      </c>
      <c r="AK77" s="46">
        <f>IF(AN77=12,I77,0)</f>
        <v>0</v>
      </c>
      <c r="AL77" s="46">
        <f>IF(AN77=21,I77,0)</f>
        <v>0</v>
      </c>
      <c r="AN77" s="46">
        <v>21</v>
      </c>
      <c r="AO77" s="46">
        <f>H77*1</f>
        <v>0</v>
      </c>
      <c r="AP77" s="46">
        <f>H77*(1-1)</f>
        <v>0</v>
      </c>
      <c r="AQ77" s="48" t="s">
        <v>103</v>
      </c>
      <c r="AV77" s="46">
        <f>ROUND(AW77+AX77,2)</f>
        <v>0</v>
      </c>
      <c r="AW77" s="46">
        <f>ROUND(G77*AO77,2)</f>
        <v>0</v>
      </c>
      <c r="AX77" s="46">
        <f>ROUND(G77*AP77,2)</f>
        <v>0</v>
      </c>
      <c r="AY77" s="48" t="s">
        <v>211</v>
      </c>
      <c r="AZ77" s="48" t="s">
        <v>193</v>
      </c>
      <c r="BA77" s="33" t="s">
        <v>110</v>
      </c>
      <c r="BC77" s="46">
        <f>AW77+AX77</f>
        <v>0</v>
      </c>
      <c r="BD77" s="46">
        <f>H77/(100-BE77)*100</f>
        <v>0</v>
      </c>
      <c r="BE77" s="46">
        <v>0</v>
      </c>
      <c r="BF77" s="46">
        <f>77</f>
        <v>77</v>
      </c>
      <c r="BH77" s="46">
        <f>G77*AO77</f>
        <v>0</v>
      </c>
      <c r="BI77" s="46">
        <f>G77*AP77</f>
        <v>0</v>
      </c>
      <c r="BJ77" s="46">
        <f>G77*H77</f>
        <v>0</v>
      </c>
      <c r="BK77" s="48" t="s">
        <v>158</v>
      </c>
      <c r="BL77" s="46">
        <v>89</v>
      </c>
      <c r="BW77" s="46">
        <v>21</v>
      </c>
      <c r="BX77" s="3" t="s">
        <v>231</v>
      </c>
    </row>
    <row r="78" spans="1:76" x14ac:dyDescent="0.25">
      <c r="A78" s="49"/>
      <c r="D78" s="50" t="s">
        <v>103</v>
      </c>
      <c r="E78" s="50"/>
      <c r="G78" s="51">
        <v>1</v>
      </c>
      <c r="L78" s="52"/>
    </row>
    <row r="79" spans="1:76" ht="15" customHeight="1" x14ac:dyDescent="0.25">
      <c r="A79" s="45" t="s">
        <v>232</v>
      </c>
      <c r="B79" s="1" t="s">
        <v>99</v>
      </c>
      <c r="C79" s="1" t="s">
        <v>233</v>
      </c>
      <c r="D79" s="61" t="s">
        <v>234</v>
      </c>
      <c r="E79" s="61"/>
      <c r="F79" s="1" t="s">
        <v>186</v>
      </c>
      <c r="G79" s="46">
        <v>1</v>
      </c>
      <c r="H79" s="46">
        <v>0</v>
      </c>
      <c r="I79" s="46">
        <f>ROUND(G79*H79,2)</f>
        <v>0</v>
      </c>
      <c r="J79" s="46">
        <v>0.45084999999999997</v>
      </c>
      <c r="K79" s="46">
        <v>0.45084999999999997</v>
      </c>
      <c r="L79" s="47" t="s">
        <v>107</v>
      </c>
      <c r="Z79" s="46">
        <f>ROUND(IF(AQ79="5",BJ79,0),2)</f>
        <v>0</v>
      </c>
      <c r="AB79" s="46">
        <f>ROUND(IF(AQ79="1",BH79,0),2)</f>
        <v>0</v>
      </c>
      <c r="AC79" s="46">
        <f>ROUND(IF(AQ79="1",BI79,0),2)</f>
        <v>0</v>
      </c>
      <c r="AD79" s="46">
        <f>ROUND(IF(AQ79="7",BH79,0),2)</f>
        <v>0</v>
      </c>
      <c r="AE79" s="46">
        <f>ROUND(IF(AQ79="7",BI79,0),2)</f>
        <v>0</v>
      </c>
      <c r="AF79" s="46">
        <f>ROUND(IF(AQ79="2",BH79,0),2)</f>
        <v>0</v>
      </c>
      <c r="AG79" s="46">
        <f>ROUND(IF(AQ79="2",BI79,0),2)</f>
        <v>0</v>
      </c>
      <c r="AH79" s="46">
        <f>ROUND(IF(AQ79="0",BJ79,0),2)</f>
        <v>0</v>
      </c>
      <c r="AI79" s="33" t="s">
        <v>99</v>
      </c>
      <c r="AJ79" s="46">
        <f>IF(AN79=0,I79,0)</f>
        <v>0</v>
      </c>
      <c r="AK79" s="46">
        <f>IF(AN79=12,I79,0)</f>
        <v>0</v>
      </c>
      <c r="AL79" s="46">
        <f>IF(AN79=21,I79,0)</f>
        <v>0</v>
      </c>
      <c r="AN79" s="46">
        <v>21</v>
      </c>
      <c r="AO79" s="46">
        <f>H79*0.748080528</f>
        <v>0</v>
      </c>
      <c r="AP79" s="46">
        <f>H79*(1-0.748080528)</f>
        <v>0</v>
      </c>
      <c r="AQ79" s="48" t="s">
        <v>103</v>
      </c>
      <c r="AV79" s="46">
        <f>ROUND(AW79+AX79,2)</f>
        <v>0</v>
      </c>
      <c r="AW79" s="46">
        <f>ROUND(G79*AO79,2)</f>
        <v>0</v>
      </c>
      <c r="AX79" s="46">
        <f>ROUND(G79*AP79,2)</f>
        <v>0</v>
      </c>
      <c r="AY79" s="48" t="s">
        <v>211</v>
      </c>
      <c r="AZ79" s="48" t="s">
        <v>193</v>
      </c>
      <c r="BA79" s="33" t="s">
        <v>110</v>
      </c>
      <c r="BC79" s="46">
        <f>AW79+AX79</f>
        <v>0</v>
      </c>
      <c r="BD79" s="46">
        <f>H79/(100-BE79)*100</f>
        <v>0</v>
      </c>
      <c r="BE79" s="46">
        <v>0</v>
      </c>
      <c r="BF79" s="46">
        <f>79</f>
        <v>79</v>
      </c>
      <c r="BH79" s="46">
        <f>G79*AO79</f>
        <v>0</v>
      </c>
      <c r="BI79" s="46">
        <f>G79*AP79</f>
        <v>0</v>
      </c>
      <c r="BJ79" s="46">
        <f>G79*H79</f>
        <v>0</v>
      </c>
      <c r="BK79" s="48" t="s">
        <v>111</v>
      </c>
      <c r="BL79" s="46">
        <v>89</v>
      </c>
      <c r="BW79" s="46">
        <v>21</v>
      </c>
      <c r="BX79" s="3" t="s">
        <v>234</v>
      </c>
    </row>
    <row r="80" spans="1:76" ht="13.5" customHeight="1" x14ac:dyDescent="0.25">
      <c r="A80" s="49"/>
      <c r="D80" s="100" t="s">
        <v>235</v>
      </c>
      <c r="E80" s="100"/>
      <c r="F80" s="100"/>
      <c r="G80" s="100"/>
      <c r="H80" s="100"/>
      <c r="I80" s="100"/>
      <c r="J80" s="100"/>
      <c r="K80" s="100"/>
      <c r="L80" s="100"/>
    </row>
    <row r="81" spans="1:76" x14ac:dyDescent="0.25">
      <c r="A81" s="49"/>
      <c r="D81" s="50" t="s">
        <v>103</v>
      </c>
      <c r="E81" s="50"/>
      <c r="G81" s="51">
        <v>1</v>
      </c>
      <c r="L81" s="52"/>
    </row>
    <row r="82" spans="1:76" ht="15" customHeight="1" x14ac:dyDescent="0.25">
      <c r="A82" s="45" t="s">
        <v>236</v>
      </c>
      <c r="B82" s="1" t="s">
        <v>99</v>
      </c>
      <c r="C82" s="1" t="s">
        <v>237</v>
      </c>
      <c r="D82" s="61" t="s">
        <v>238</v>
      </c>
      <c r="E82" s="61"/>
      <c r="F82" s="1" t="s">
        <v>186</v>
      </c>
      <c r="G82" s="46">
        <v>1</v>
      </c>
      <c r="H82" s="46">
        <v>0</v>
      </c>
      <c r="I82" s="46">
        <f>ROUND(G82*H82,2)</f>
        <v>0</v>
      </c>
      <c r="J82" s="46">
        <v>2.0999999999999999E-3</v>
      </c>
      <c r="K82" s="46">
        <v>2.0999999999999999E-3</v>
      </c>
      <c r="L82" s="47" t="s">
        <v>107</v>
      </c>
      <c r="Z82" s="46">
        <f>ROUND(IF(AQ82="5",BJ82,0),2)</f>
        <v>0</v>
      </c>
      <c r="AB82" s="46">
        <f>ROUND(IF(AQ82="1",BH82,0),2)</f>
        <v>0</v>
      </c>
      <c r="AC82" s="46">
        <f>ROUND(IF(AQ82="1",BI82,0),2)</f>
        <v>0</v>
      </c>
      <c r="AD82" s="46">
        <f>ROUND(IF(AQ82="7",BH82,0),2)</f>
        <v>0</v>
      </c>
      <c r="AE82" s="46">
        <f>ROUND(IF(AQ82="7",BI82,0),2)</f>
        <v>0</v>
      </c>
      <c r="AF82" s="46">
        <f>ROUND(IF(AQ82="2",BH82,0),2)</f>
        <v>0</v>
      </c>
      <c r="AG82" s="46">
        <f>ROUND(IF(AQ82="2",BI82,0),2)</f>
        <v>0</v>
      </c>
      <c r="AH82" s="46">
        <f>ROUND(IF(AQ82="0",BJ82,0),2)</f>
        <v>0</v>
      </c>
      <c r="AI82" s="33" t="s">
        <v>99</v>
      </c>
      <c r="AJ82" s="46">
        <f>IF(AN82=0,I82,0)</f>
        <v>0</v>
      </c>
      <c r="AK82" s="46">
        <f>IF(AN82=12,I82,0)</f>
        <v>0</v>
      </c>
      <c r="AL82" s="46">
        <f>IF(AN82=21,I82,0)</f>
        <v>0</v>
      </c>
      <c r="AN82" s="46">
        <v>21</v>
      </c>
      <c r="AO82" s="46">
        <f>H82*1</f>
        <v>0</v>
      </c>
      <c r="AP82" s="46">
        <f>H82*(1-1)</f>
        <v>0</v>
      </c>
      <c r="AQ82" s="48" t="s">
        <v>103</v>
      </c>
      <c r="AV82" s="46">
        <f>ROUND(AW82+AX82,2)</f>
        <v>0</v>
      </c>
      <c r="AW82" s="46">
        <f>ROUND(G82*AO82,2)</f>
        <v>0</v>
      </c>
      <c r="AX82" s="46">
        <f>ROUND(G82*AP82,2)</f>
        <v>0</v>
      </c>
      <c r="AY82" s="48" t="s">
        <v>211</v>
      </c>
      <c r="AZ82" s="48" t="s">
        <v>193</v>
      </c>
      <c r="BA82" s="33" t="s">
        <v>110</v>
      </c>
      <c r="BC82" s="46">
        <f>AW82+AX82</f>
        <v>0</v>
      </c>
      <c r="BD82" s="46">
        <f>H82/(100-BE82)*100</f>
        <v>0</v>
      </c>
      <c r="BE82" s="46">
        <v>0</v>
      </c>
      <c r="BF82" s="46">
        <f>82</f>
        <v>82</v>
      </c>
      <c r="BH82" s="46">
        <f>G82*AO82</f>
        <v>0</v>
      </c>
      <c r="BI82" s="46">
        <f>G82*AP82</f>
        <v>0</v>
      </c>
      <c r="BJ82" s="46">
        <f>G82*H82</f>
        <v>0</v>
      </c>
      <c r="BK82" s="48" t="s">
        <v>158</v>
      </c>
      <c r="BL82" s="46">
        <v>89</v>
      </c>
      <c r="BW82" s="46">
        <v>21</v>
      </c>
      <c r="BX82" s="3" t="s">
        <v>238</v>
      </c>
    </row>
    <row r="83" spans="1:76" x14ac:dyDescent="0.25">
      <c r="A83" s="49"/>
      <c r="D83" s="50" t="s">
        <v>103</v>
      </c>
      <c r="E83" s="50"/>
      <c r="G83" s="51">
        <v>1</v>
      </c>
      <c r="L83" s="52"/>
    </row>
    <row r="84" spans="1:76" ht="15" customHeight="1" x14ac:dyDescent="0.25">
      <c r="A84" s="45" t="s">
        <v>239</v>
      </c>
      <c r="B84" s="1" t="s">
        <v>99</v>
      </c>
      <c r="C84" s="1" t="s">
        <v>240</v>
      </c>
      <c r="D84" s="61" t="s">
        <v>241</v>
      </c>
      <c r="E84" s="61"/>
      <c r="F84" s="1" t="s">
        <v>186</v>
      </c>
      <c r="G84" s="46">
        <v>1</v>
      </c>
      <c r="H84" s="46">
        <v>0</v>
      </c>
      <c r="I84" s="46">
        <f>ROUND(G84*H84,2)</f>
        <v>0</v>
      </c>
      <c r="J84" s="46">
        <v>0</v>
      </c>
      <c r="K84" s="46">
        <v>0</v>
      </c>
      <c r="L84" s="47" t="s">
        <v>107</v>
      </c>
      <c r="Z84" s="46">
        <f>ROUND(IF(AQ84="5",BJ84,0),2)</f>
        <v>0</v>
      </c>
      <c r="AB84" s="46">
        <f>ROUND(IF(AQ84="1",BH84,0),2)</f>
        <v>0</v>
      </c>
      <c r="AC84" s="46">
        <f>ROUND(IF(AQ84="1",BI84,0),2)</f>
        <v>0</v>
      </c>
      <c r="AD84" s="46">
        <f>ROUND(IF(AQ84="7",BH84,0),2)</f>
        <v>0</v>
      </c>
      <c r="AE84" s="46">
        <f>ROUND(IF(AQ84="7",BI84,0),2)</f>
        <v>0</v>
      </c>
      <c r="AF84" s="46">
        <f>ROUND(IF(AQ84="2",BH84,0),2)</f>
        <v>0</v>
      </c>
      <c r="AG84" s="46">
        <f>ROUND(IF(AQ84="2",BI84,0),2)</f>
        <v>0</v>
      </c>
      <c r="AH84" s="46">
        <f>ROUND(IF(AQ84="0",BJ84,0),2)</f>
        <v>0</v>
      </c>
      <c r="AI84" s="33" t="s">
        <v>99</v>
      </c>
      <c r="AJ84" s="46">
        <f>IF(AN84=0,I84,0)</f>
        <v>0</v>
      </c>
      <c r="AK84" s="46">
        <f>IF(AN84=12,I84,0)</f>
        <v>0</v>
      </c>
      <c r="AL84" s="46">
        <f>IF(AN84=21,I84,0)</f>
        <v>0</v>
      </c>
      <c r="AN84" s="46">
        <v>21</v>
      </c>
      <c r="AO84" s="46">
        <f>H84*0</f>
        <v>0</v>
      </c>
      <c r="AP84" s="46">
        <f>H84*(1-0)</f>
        <v>0</v>
      </c>
      <c r="AQ84" s="48" t="s">
        <v>103</v>
      </c>
      <c r="AV84" s="46">
        <f>ROUND(AW84+AX84,2)</f>
        <v>0</v>
      </c>
      <c r="AW84" s="46">
        <f>ROUND(G84*AO84,2)</f>
        <v>0</v>
      </c>
      <c r="AX84" s="46">
        <f>ROUND(G84*AP84,2)</f>
        <v>0</v>
      </c>
      <c r="AY84" s="48" t="s">
        <v>211</v>
      </c>
      <c r="AZ84" s="48" t="s">
        <v>193</v>
      </c>
      <c r="BA84" s="33" t="s">
        <v>110</v>
      </c>
      <c r="BC84" s="46">
        <f>AW84+AX84</f>
        <v>0</v>
      </c>
      <c r="BD84" s="46">
        <f>H84/(100-BE84)*100</f>
        <v>0</v>
      </c>
      <c r="BE84" s="46">
        <v>0</v>
      </c>
      <c r="BF84" s="46">
        <f>84</f>
        <v>84</v>
      </c>
      <c r="BH84" s="46">
        <f>G84*AO84</f>
        <v>0</v>
      </c>
      <c r="BI84" s="46">
        <f>G84*AP84</f>
        <v>0</v>
      </c>
      <c r="BJ84" s="46">
        <f>G84*H84</f>
        <v>0</v>
      </c>
      <c r="BK84" s="48" t="s">
        <v>111</v>
      </c>
      <c r="BL84" s="46">
        <v>89</v>
      </c>
      <c r="BW84" s="46">
        <v>21</v>
      </c>
      <c r="BX84" s="3" t="s">
        <v>241</v>
      </c>
    </row>
    <row r="85" spans="1:76" x14ac:dyDescent="0.25">
      <c r="A85" s="49"/>
      <c r="D85" s="50" t="s">
        <v>103</v>
      </c>
      <c r="E85" s="50"/>
      <c r="G85" s="51">
        <v>1</v>
      </c>
      <c r="L85" s="52"/>
    </row>
    <row r="86" spans="1:76" ht="15" customHeight="1" x14ac:dyDescent="0.25">
      <c r="A86" s="45" t="s">
        <v>220</v>
      </c>
      <c r="B86" s="1" t="s">
        <v>99</v>
      </c>
      <c r="C86" s="1" t="s">
        <v>242</v>
      </c>
      <c r="D86" s="61" t="s">
        <v>243</v>
      </c>
      <c r="E86" s="61"/>
      <c r="F86" s="1" t="s">
        <v>186</v>
      </c>
      <c r="G86" s="46">
        <v>1</v>
      </c>
      <c r="H86" s="46">
        <v>0</v>
      </c>
      <c r="I86" s="46">
        <f>ROUND(G86*H86,2)</f>
        <v>0</v>
      </c>
      <c r="J86" s="46">
        <v>2.5000000000000001E-3</v>
      </c>
      <c r="K86" s="46">
        <v>2.5000000000000001E-3</v>
      </c>
      <c r="L86" s="47" t="s">
        <v>107</v>
      </c>
      <c r="Z86" s="46">
        <f>ROUND(IF(AQ86="5",BJ86,0),2)</f>
        <v>0</v>
      </c>
      <c r="AB86" s="46">
        <f>ROUND(IF(AQ86="1",BH86,0),2)</f>
        <v>0</v>
      </c>
      <c r="AC86" s="46">
        <f>ROUND(IF(AQ86="1",BI86,0),2)</f>
        <v>0</v>
      </c>
      <c r="AD86" s="46">
        <f>ROUND(IF(AQ86="7",BH86,0),2)</f>
        <v>0</v>
      </c>
      <c r="AE86" s="46">
        <f>ROUND(IF(AQ86="7",BI86,0),2)</f>
        <v>0</v>
      </c>
      <c r="AF86" s="46">
        <f>ROUND(IF(AQ86="2",BH86,0),2)</f>
        <v>0</v>
      </c>
      <c r="AG86" s="46">
        <f>ROUND(IF(AQ86="2",BI86,0),2)</f>
        <v>0</v>
      </c>
      <c r="AH86" s="46">
        <f>ROUND(IF(AQ86="0",BJ86,0),2)</f>
        <v>0</v>
      </c>
      <c r="AI86" s="33" t="s">
        <v>99</v>
      </c>
      <c r="AJ86" s="46">
        <f>IF(AN86=0,I86,0)</f>
        <v>0</v>
      </c>
      <c r="AK86" s="46">
        <f>IF(AN86=12,I86,0)</f>
        <v>0</v>
      </c>
      <c r="AL86" s="46">
        <f>IF(AN86=21,I86,0)</f>
        <v>0</v>
      </c>
      <c r="AN86" s="46">
        <v>21</v>
      </c>
      <c r="AO86" s="46">
        <f>H86*1</f>
        <v>0</v>
      </c>
      <c r="AP86" s="46">
        <f>H86*(1-1)</f>
        <v>0</v>
      </c>
      <c r="AQ86" s="48" t="s">
        <v>103</v>
      </c>
      <c r="AV86" s="46">
        <f>ROUND(AW86+AX86,2)</f>
        <v>0</v>
      </c>
      <c r="AW86" s="46">
        <f>ROUND(G86*AO86,2)</f>
        <v>0</v>
      </c>
      <c r="AX86" s="46">
        <f>ROUND(G86*AP86,2)</f>
        <v>0</v>
      </c>
      <c r="AY86" s="48" t="s">
        <v>211</v>
      </c>
      <c r="AZ86" s="48" t="s">
        <v>193</v>
      </c>
      <c r="BA86" s="33" t="s">
        <v>110</v>
      </c>
      <c r="BC86" s="46">
        <f>AW86+AX86</f>
        <v>0</v>
      </c>
      <c r="BD86" s="46">
        <f>H86/(100-BE86)*100</f>
        <v>0</v>
      </c>
      <c r="BE86" s="46">
        <v>0</v>
      </c>
      <c r="BF86" s="46">
        <f>86</f>
        <v>86</v>
      </c>
      <c r="BH86" s="46">
        <f>G86*AO86</f>
        <v>0</v>
      </c>
      <c r="BI86" s="46">
        <f>G86*AP86</f>
        <v>0</v>
      </c>
      <c r="BJ86" s="46">
        <f>G86*H86</f>
        <v>0</v>
      </c>
      <c r="BK86" s="48" t="s">
        <v>158</v>
      </c>
      <c r="BL86" s="46">
        <v>89</v>
      </c>
      <c r="BW86" s="46">
        <v>21</v>
      </c>
      <c r="BX86" s="3" t="s">
        <v>243</v>
      </c>
    </row>
    <row r="87" spans="1:76" x14ac:dyDescent="0.25">
      <c r="A87" s="49"/>
      <c r="D87" s="50" t="s">
        <v>103</v>
      </c>
      <c r="E87" s="50"/>
      <c r="G87" s="51">
        <v>1</v>
      </c>
      <c r="L87" s="52"/>
    </row>
    <row r="88" spans="1:76" ht="15" customHeight="1" x14ac:dyDescent="0.25">
      <c r="A88" s="45" t="s">
        <v>194</v>
      </c>
      <c r="B88" s="1" t="s">
        <v>99</v>
      </c>
      <c r="C88" s="1" t="s">
        <v>244</v>
      </c>
      <c r="D88" s="61" t="s">
        <v>245</v>
      </c>
      <c r="E88" s="61"/>
      <c r="F88" s="1" t="s">
        <v>106</v>
      </c>
      <c r="G88" s="46">
        <v>0.54</v>
      </c>
      <c r="H88" s="46">
        <v>0</v>
      </c>
      <c r="I88" s="46">
        <f>ROUND(G88*H88,2)</f>
        <v>0</v>
      </c>
      <c r="J88" s="46">
        <v>2.5249999999999999</v>
      </c>
      <c r="K88" s="46">
        <v>2.5249999999999999</v>
      </c>
      <c r="L88" s="47" t="s">
        <v>107</v>
      </c>
      <c r="Z88" s="46">
        <f>ROUND(IF(AQ88="5",BJ88,0),2)</f>
        <v>0</v>
      </c>
      <c r="AB88" s="46">
        <f>ROUND(IF(AQ88="1",BH88,0),2)</f>
        <v>0</v>
      </c>
      <c r="AC88" s="46">
        <f>ROUND(IF(AQ88="1",BI88,0),2)</f>
        <v>0</v>
      </c>
      <c r="AD88" s="46">
        <f>ROUND(IF(AQ88="7",BH88,0),2)</f>
        <v>0</v>
      </c>
      <c r="AE88" s="46">
        <f>ROUND(IF(AQ88="7",BI88,0),2)</f>
        <v>0</v>
      </c>
      <c r="AF88" s="46">
        <f>ROUND(IF(AQ88="2",BH88,0),2)</f>
        <v>0</v>
      </c>
      <c r="AG88" s="46">
        <f>ROUND(IF(AQ88="2",BI88,0),2)</f>
        <v>0</v>
      </c>
      <c r="AH88" s="46">
        <f>ROUND(IF(AQ88="0",BJ88,0),2)</f>
        <v>0</v>
      </c>
      <c r="AI88" s="33" t="s">
        <v>99</v>
      </c>
      <c r="AJ88" s="46">
        <f>IF(AN88=0,I88,0)</f>
        <v>0</v>
      </c>
      <c r="AK88" s="46">
        <f>IF(AN88=12,I88,0)</f>
        <v>0</v>
      </c>
      <c r="AL88" s="46">
        <f>IF(AN88=21,I88,0)</f>
        <v>0</v>
      </c>
      <c r="AN88" s="46">
        <v>21</v>
      </c>
      <c r="AO88" s="46">
        <f>H88*0.814791043</f>
        <v>0</v>
      </c>
      <c r="AP88" s="46">
        <f>H88*(1-0.814791043)</f>
        <v>0</v>
      </c>
      <c r="AQ88" s="48" t="s">
        <v>103</v>
      </c>
      <c r="AV88" s="46">
        <f>ROUND(AW88+AX88,2)</f>
        <v>0</v>
      </c>
      <c r="AW88" s="46">
        <f>ROUND(G88*AO88,2)</f>
        <v>0</v>
      </c>
      <c r="AX88" s="46">
        <f>ROUND(G88*AP88,2)</f>
        <v>0</v>
      </c>
      <c r="AY88" s="48" t="s">
        <v>211</v>
      </c>
      <c r="AZ88" s="48" t="s">
        <v>193</v>
      </c>
      <c r="BA88" s="33" t="s">
        <v>110</v>
      </c>
      <c r="BC88" s="46">
        <f>AW88+AX88</f>
        <v>0</v>
      </c>
      <c r="BD88" s="46">
        <f>H88/(100-BE88)*100</f>
        <v>0</v>
      </c>
      <c r="BE88" s="46">
        <v>0</v>
      </c>
      <c r="BF88" s="46">
        <f>88</f>
        <v>88</v>
      </c>
      <c r="BH88" s="46">
        <f>G88*AO88</f>
        <v>0</v>
      </c>
      <c r="BI88" s="46">
        <f>G88*AP88</f>
        <v>0</v>
      </c>
      <c r="BJ88" s="46">
        <f>G88*H88</f>
        <v>0</v>
      </c>
      <c r="BK88" s="48" t="s">
        <v>111</v>
      </c>
      <c r="BL88" s="46">
        <v>89</v>
      </c>
      <c r="BW88" s="46">
        <v>21</v>
      </c>
      <c r="BX88" s="3" t="s">
        <v>245</v>
      </c>
    </row>
    <row r="89" spans="1:76" x14ac:dyDescent="0.25">
      <c r="A89" s="49"/>
      <c r="D89" s="50" t="s">
        <v>246</v>
      </c>
      <c r="E89" s="50"/>
      <c r="G89" s="51">
        <v>0.54</v>
      </c>
      <c r="L89" s="52"/>
    </row>
    <row r="90" spans="1:76" ht="15" customHeight="1" x14ac:dyDescent="0.25">
      <c r="A90" s="41"/>
      <c r="B90" s="42" t="s">
        <v>99</v>
      </c>
      <c r="C90" s="42" t="s">
        <v>247</v>
      </c>
      <c r="D90" s="99" t="s">
        <v>248</v>
      </c>
      <c r="E90" s="99"/>
      <c r="F90" s="43" t="s">
        <v>64</v>
      </c>
      <c r="G90" s="43" t="s">
        <v>64</v>
      </c>
      <c r="H90" s="43" t="s">
        <v>64</v>
      </c>
      <c r="I90" s="26">
        <f>SUM(I91)</f>
        <v>0</v>
      </c>
      <c r="J90" s="33"/>
      <c r="K90" s="33"/>
      <c r="L90" s="44"/>
      <c r="AI90" s="33" t="s">
        <v>99</v>
      </c>
      <c r="AS90" s="26">
        <f>SUM(AJ91)</f>
        <v>0</v>
      </c>
      <c r="AT90" s="26">
        <f>SUM(AK91)</f>
        <v>0</v>
      </c>
      <c r="AU90" s="26">
        <f>SUM(AL91)</f>
        <v>0</v>
      </c>
    </row>
    <row r="91" spans="1:76" ht="15" customHeight="1" x14ac:dyDescent="0.25">
      <c r="A91" s="45" t="s">
        <v>197</v>
      </c>
      <c r="B91" s="1" t="s">
        <v>99</v>
      </c>
      <c r="C91" s="1" t="s">
        <v>249</v>
      </c>
      <c r="D91" s="61" t="s">
        <v>250</v>
      </c>
      <c r="E91" s="61"/>
      <c r="F91" s="1" t="s">
        <v>251</v>
      </c>
      <c r="G91" s="46">
        <v>10</v>
      </c>
      <c r="H91" s="46">
        <v>0</v>
      </c>
      <c r="I91" s="46">
        <f>ROUND(G91*H91,2)</f>
        <v>0</v>
      </c>
      <c r="J91" s="46">
        <v>0</v>
      </c>
      <c r="K91" s="46">
        <v>0</v>
      </c>
      <c r="L91" s="47" t="s">
        <v>107</v>
      </c>
      <c r="Z91" s="46">
        <f>ROUND(IF(AQ91="5",BJ91,0),2)</f>
        <v>0</v>
      </c>
      <c r="AB91" s="46">
        <f>ROUND(IF(AQ91="1",BH91,0),2)</f>
        <v>0</v>
      </c>
      <c r="AC91" s="46">
        <f>ROUND(IF(AQ91="1",BI91,0),2)</f>
        <v>0</v>
      </c>
      <c r="AD91" s="46">
        <f>ROUND(IF(AQ91="7",BH91,0),2)</f>
        <v>0</v>
      </c>
      <c r="AE91" s="46">
        <f>ROUND(IF(AQ91="7",BI91,0),2)</f>
        <v>0</v>
      </c>
      <c r="AF91" s="46">
        <f>ROUND(IF(AQ91="2",BH91,0),2)</f>
        <v>0</v>
      </c>
      <c r="AG91" s="46">
        <f>ROUND(IF(AQ91="2",BI91,0),2)</f>
        <v>0</v>
      </c>
      <c r="AH91" s="46">
        <f>ROUND(IF(AQ91="0",BJ91,0),2)</f>
        <v>0</v>
      </c>
      <c r="AI91" s="33" t="s">
        <v>99</v>
      </c>
      <c r="AJ91" s="46">
        <f>IF(AN91=0,I91,0)</f>
        <v>0</v>
      </c>
      <c r="AK91" s="46">
        <f>IF(AN91=12,I91,0)</f>
        <v>0</v>
      </c>
      <c r="AL91" s="46">
        <f>IF(AN91=21,I91,0)</f>
        <v>0</v>
      </c>
      <c r="AN91" s="46">
        <v>21</v>
      </c>
      <c r="AO91" s="46">
        <f>H91*0</f>
        <v>0</v>
      </c>
      <c r="AP91" s="46">
        <f>H91*(1-0)</f>
        <v>0</v>
      </c>
      <c r="AQ91" s="48" t="s">
        <v>103</v>
      </c>
      <c r="AV91" s="46">
        <f>ROUND(AW91+AX91,2)</f>
        <v>0</v>
      </c>
      <c r="AW91" s="46">
        <f>ROUND(G91*AO91,2)</f>
        <v>0</v>
      </c>
      <c r="AX91" s="46">
        <f>ROUND(G91*AP91,2)</f>
        <v>0</v>
      </c>
      <c r="AY91" s="48" t="s">
        <v>252</v>
      </c>
      <c r="AZ91" s="48" t="s">
        <v>253</v>
      </c>
      <c r="BA91" s="33" t="s">
        <v>110</v>
      </c>
      <c r="BC91" s="46">
        <f>AW91+AX91</f>
        <v>0</v>
      </c>
      <c r="BD91" s="46">
        <f>H91/(100-BE91)*100</f>
        <v>0</v>
      </c>
      <c r="BE91" s="46">
        <v>0</v>
      </c>
      <c r="BF91" s="46">
        <f>91</f>
        <v>91</v>
      </c>
      <c r="BH91" s="46">
        <f>G91*AO91</f>
        <v>0</v>
      </c>
      <c r="BI91" s="46">
        <f>G91*AP91</f>
        <v>0</v>
      </c>
      <c r="BJ91" s="46">
        <f>G91*H91</f>
        <v>0</v>
      </c>
      <c r="BK91" s="48" t="s">
        <v>111</v>
      </c>
      <c r="BL91" s="46">
        <v>90</v>
      </c>
      <c r="BW91" s="46">
        <v>21</v>
      </c>
      <c r="BX91" s="3" t="s">
        <v>250</v>
      </c>
    </row>
    <row r="92" spans="1:76" ht="13.5" customHeight="1" x14ac:dyDescent="0.25">
      <c r="A92" s="49"/>
      <c r="D92" s="100" t="s">
        <v>254</v>
      </c>
      <c r="E92" s="100"/>
      <c r="F92" s="100"/>
      <c r="G92" s="100"/>
      <c r="H92" s="100"/>
      <c r="I92" s="100"/>
      <c r="J92" s="100"/>
      <c r="K92" s="100"/>
      <c r="L92" s="100"/>
    </row>
    <row r="93" spans="1:76" x14ac:dyDescent="0.25">
      <c r="A93" s="49"/>
      <c r="D93" s="50" t="s">
        <v>255</v>
      </c>
      <c r="E93" s="50"/>
      <c r="G93" s="51">
        <v>10</v>
      </c>
      <c r="L93" s="52"/>
    </row>
    <row r="94" spans="1:76" ht="15" customHeight="1" x14ac:dyDescent="0.25">
      <c r="A94" s="41"/>
      <c r="B94" s="42" t="s">
        <v>99</v>
      </c>
      <c r="C94" s="42" t="s">
        <v>256</v>
      </c>
      <c r="D94" s="99" t="s">
        <v>257</v>
      </c>
      <c r="E94" s="99"/>
      <c r="F94" s="43" t="s">
        <v>64</v>
      </c>
      <c r="G94" s="43" t="s">
        <v>64</v>
      </c>
      <c r="H94" s="43" t="s">
        <v>64</v>
      </c>
      <c r="I94" s="26">
        <f>SUM(I95)</f>
        <v>0</v>
      </c>
      <c r="J94" s="33"/>
      <c r="K94" s="33"/>
      <c r="L94" s="44"/>
      <c r="AI94" s="33" t="s">
        <v>99</v>
      </c>
      <c r="AS94" s="26">
        <f>SUM(AJ95)</f>
        <v>0</v>
      </c>
      <c r="AT94" s="26">
        <f>SUM(AK95)</f>
        <v>0</v>
      </c>
      <c r="AU94" s="26">
        <f>SUM(AL95)</f>
        <v>0</v>
      </c>
    </row>
    <row r="95" spans="1:76" ht="15" customHeight="1" x14ac:dyDescent="0.25">
      <c r="A95" s="45" t="s">
        <v>258</v>
      </c>
      <c r="B95" s="1" t="s">
        <v>99</v>
      </c>
      <c r="C95" s="1" t="s">
        <v>259</v>
      </c>
      <c r="D95" s="61" t="s">
        <v>260</v>
      </c>
      <c r="E95" s="61"/>
      <c r="F95" s="1" t="s">
        <v>180</v>
      </c>
      <c r="G95" s="46">
        <v>1.05</v>
      </c>
      <c r="H95" s="46">
        <v>0</v>
      </c>
      <c r="I95" s="46">
        <f>ROUND(G95*H95,2)</f>
        <v>0</v>
      </c>
      <c r="J95" s="46">
        <v>3.7499999999999999E-3</v>
      </c>
      <c r="K95" s="46">
        <v>0.12640999999999999</v>
      </c>
      <c r="L95" s="47" t="s">
        <v>107</v>
      </c>
      <c r="Z95" s="46">
        <f>ROUND(IF(AQ95="5",BJ95,0),2)</f>
        <v>0</v>
      </c>
      <c r="AB95" s="46">
        <f>ROUND(IF(AQ95="1",BH95,0),2)</f>
        <v>0</v>
      </c>
      <c r="AC95" s="46">
        <f>ROUND(IF(AQ95="1",BI95,0),2)</f>
        <v>0</v>
      </c>
      <c r="AD95" s="46">
        <f>ROUND(IF(AQ95="7",BH95,0),2)</f>
        <v>0</v>
      </c>
      <c r="AE95" s="46">
        <f>ROUND(IF(AQ95="7",BI95,0),2)</f>
        <v>0</v>
      </c>
      <c r="AF95" s="46">
        <f>ROUND(IF(AQ95="2",BH95,0),2)</f>
        <v>0</v>
      </c>
      <c r="AG95" s="46">
        <f>ROUND(IF(AQ95="2",BI95,0),2)</f>
        <v>0</v>
      </c>
      <c r="AH95" s="46">
        <f>ROUND(IF(AQ95="0",BJ95,0),2)</f>
        <v>0</v>
      </c>
      <c r="AI95" s="33" t="s">
        <v>99</v>
      </c>
      <c r="AJ95" s="46">
        <f>IF(AN95=0,I95,0)</f>
        <v>0</v>
      </c>
      <c r="AK95" s="46">
        <f>IF(AN95=12,I95,0)</f>
        <v>0</v>
      </c>
      <c r="AL95" s="46">
        <f>IF(AN95=21,I95,0)</f>
        <v>0</v>
      </c>
      <c r="AN95" s="46">
        <v>21</v>
      </c>
      <c r="AO95" s="46">
        <f>H95*0.299098814</f>
        <v>0</v>
      </c>
      <c r="AP95" s="46">
        <f>H95*(1-0.299098814)</f>
        <v>0</v>
      </c>
      <c r="AQ95" s="48" t="s">
        <v>103</v>
      </c>
      <c r="AV95" s="46">
        <f>ROUND(AW95+AX95,2)</f>
        <v>0</v>
      </c>
      <c r="AW95" s="46">
        <f>ROUND(G95*AO95,2)</f>
        <v>0</v>
      </c>
      <c r="AX95" s="46">
        <f>ROUND(G95*AP95,2)</f>
        <v>0</v>
      </c>
      <c r="AY95" s="48" t="s">
        <v>261</v>
      </c>
      <c r="AZ95" s="48" t="s">
        <v>253</v>
      </c>
      <c r="BA95" s="33" t="s">
        <v>110</v>
      </c>
      <c r="BC95" s="46">
        <f>AW95+AX95</f>
        <v>0</v>
      </c>
      <c r="BD95" s="46">
        <f>H95/(100-BE95)*100</f>
        <v>0</v>
      </c>
      <c r="BE95" s="46">
        <v>0</v>
      </c>
      <c r="BF95" s="46">
        <f>95</f>
        <v>95</v>
      </c>
      <c r="BH95" s="46">
        <f>G95*AO95</f>
        <v>0</v>
      </c>
      <c r="BI95" s="46">
        <f>G95*AP95</f>
        <v>0</v>
      </c>
      <c r="BJ95" s="46">
        <f>G95*H95</f>
        <v>0</v>
      </c>
      <c r="BK95" s="48" t="s">
        <v>111</v>
      </c>
      <c r="BL95" s="46">
        <v>97</v>
      </c>
      <c r="BW95" s="46">
        <v>21</v>
      </c>
      <c r="BX95" s="3" t="s">
        <v>260</v>
      </c>
    </row>
    <row r="96" spans="1:76" x14ac:dyDescent="0.25">
      <c r="A96" s="49"/>
      <c r="D96" s="50" t="s">
        <v>262</v>
      </c>
      <c r="E96" s="50"/>
      <c r="G96" s="51">
        <v>1.05</v>
      </c>
      <c r="L96" s="52"/>
    </row>
    <row r="97" spans="1:76" ht="15" customHeight="1" x14ac:dyDescent="0.25">
      <c r="A97" s="41"/>
      <c r="B97" s="42" t="s">
        <v>99</v>
      </c>
      <c r="C97" s="42" t="s">
        <v>263</v>
      </c>
      <c r="D97" s="99" t="s">
        <v>264</v>
      </c>
      <c r="E97" s="99"/>
      <c r="F97" s="43" t="s">
        <v>64</v>
      </c>
      <c r="G97" s="43" t="s">
        <v>64</v>
      </c>
      <c r="H97" s="43" t="s">
        <v>64</v>
      </c>
      <c r="I97" s="26">
        <f>SUM(I98:I99)</f>
        <v>0</v>
      </c>
      <c r="J97" s="33"/>
      <c r="K97" s="33"/>
      <c r="L97" s="44"/>
      <c r="AI97" s="33" t="s">
        <v>99</v>
      </c>
      <c r="AS97" s="26">
        <f>SUM(AJ98:AJ99)</f>
        <v>0</v>
      </c>
      <c r="AT97" s="26">
        <f>SUM(AK98:AK99)</f>
        <v>0</v>
      </c>
      <c r="AU97" s="26">
        <f>SUM(AL98:AL99)</f>
        <v>0</v>
      </c>
    </row>
    <row r="98" spans="1:76" ht="15" customHeight="1" x14ac:dyDescent="0.25">
      <c r="A98" s="45" t="s">
        <v>265</v>
      </c>
      <c r="B98" s="1" t="s">
        <v>99</v>
      </c>
      <c r="C98" s="1" t="s">
        <v>266</v>
      </c>
      <c r="D98" s="61" t="s">
        <v>267</v>
      </c>
      <c r="E98" s="61"/>
      <c r="F98" s="1" t="s">
        <v>157</v>
      </c>
      <c r="G98" s="46">
        <v>10.1104</v>
      </c>
      <c r="H98" s="46">
        <v>0</v>
      </c>
      <c r="I98" s="46">
        <f>ROUND(G98*H98,2)</f>
        <v>0</v>
      </c>
      <c r="J98" s="46">
        <v>0</v>
      </c>
      <c r="K98" s="46">
        <v>0</v>
      </c>
      <c r="L98" s="47" t="s">
        <v>107</v>
      </c>
      <c r="Z98" s="46">
        <f>ROUND(IF(AQ98="5",BJ98,0),2)</f>
        <v>0</v>
      </c>
      <c r="AB98" s="46">
        <f>ROUND(IF(AQ98="1",BH98,0),2)</f>
        <v>0</v>
      </c>
      <c r="AC98" s="46">
        <f>ROUND(IF(AQ98="1",BI98,0),2)</f>
        <v>0</v>
      </c>
      <c r="AD98" s="46">
        <f>ROUND(IF(AQ98="7",BH98,0),2)</f>
        <v>0</v>
      </c>
      <c r="AE98" s="46">
        <f>ROUND(IF(AQ98="7",BI98,0),2)</f>
        <v>0</v>
      </c>
      <c r="AF98" s="46">
        <f>ROUND(IF(AQ98="2",BH98,0),2)</f>
        <v>0</v>
      </c>
      <c r="AG98" s="46">
        <f>ROUND(IF(AQ98="2",BI98,0),2)</f>
        <v>0</v>
      </c>
      <c r="AH98" s="46">
        <f>ROUND(IF(AQ98="0",BJ98,0),2)</f>
        <v>0</v>
      </c>
      <c r="AI98" s="33" t="s">
        <v>99</v>
      </c>
      <c r="AJ98" s="46">
        <f>IF(AN98=0,I98,0)</f>
        <v>0</v>
      </c>
      <c r="AK98" s="46">
        <f>IF(AN98=12,I98,0)</f>
        <v>0</v>
      </c>
      <c r="AL98" s="46">
        <f>IF(AN98=21,I98,0)</f>
        <v>0</v>
      </c>
      <c r="AN98" s="46">
        <v>21</v>
      </c>
      <c r="AO98" s="46">
        <f>H98*0</f>
        <v>0</v>
      </c>
      <c r="AP98" s="46">
        <f>H98*(1-0)</f>
        <v>0</v>
      </c>
      <c r="AQ98" s="48" t="s">
        <v>132</v>
      </c>
      <c r="AV98" s="46">
        <f>ROUND(AW98+AX98,2)</f>
        <v>0</v>
      </c>
      <c r="AW98" s="46">
        <f>ROUND(G98*AO98,2)</f>
        <v>0</v>
      </c>
      <c r="AX98" s="46">
        <f>ROUND(G98*AP98,2)</f>
        <v>0</v>
      </c>
      <c r="AY98" s="48" t="s">
        <v>268</v>
      </c>
      <c r="AZ98" s="48" t="s">
        <v>253</v>
      </c>
      <c r="BA98" s="33" t="s">
        <v>110</v>
      </c>
      <c r="BC98" s="46">
        <f>AW98+AX98</f>
        <v>0</v>
      </c>
      <c r="BD98" s="46">
        <f>H98/(100-BE98)*100</f>
        <v>0</v>
      </c>
      <c r="BE98" s="46">
        <v>0</v>
      </c>
      <c r="BF98" s="46">
        <f>98</f>
        <v>98</v>
      </c>
      <c r="BH98" s="46">
        <f>G98*AO98</f>
        <v>0</v>
      </c>
      <c r="BI98" s="46">
        <f>G98*AP98</f>
        <v>0</v>
      </c>
      <c r="BJ98" s="46">
        <f>G98*H98</f>
        <v>0</v>
      </c>
      <c r="BK98" s="48" t="s">
        <v>111</v>
      </c>
      <c r="BL98" s="46"/>
      <c r="BW98" s="46">
        <v>21</v>
      </c>
      <c r="BX98" s="3" t="s">
        <v>267</v>
      </c>
    </row>
    <row r="99" spans="1:76" ht="15" customHeight="1" x14ac:dyDescent="0.25">
      <c r="A99" s="45" t="s">
        <v>269</v>
      </c>
      <c r="B99" s="1" t="s">
        <v>99</v>
      </c>
      <c r="C99" s="1" t="s">
        <v>270</v>
      </c>
      <c r="D99" s="61" t="s">
        <v>271</v>
      </c>
      <c r="E99" s="61"/>
      <c r="F99" s="1" t="s">
        <v>157</v>
      </c>
      <c r="G99" s="46">
        <v>10.11</v>
      </c>
      <c r="H99" s="46">
        <v>0</v>
      </c>
      <c r="I99" s="46">
        <f>ROUND(G99*H99,2)</f>
        <v>0</v>
      </c>
      <c r="J99" s="46">
        <v>0</v>
      </c>
      <c r="K99" s="46">
        <v>0</v>
      </c>
      <c r="L99" s="47" t="s">
        <v>107</v>
      </c>
      <c r="Z99" s="46">
        <f>ROUND(IF(AQ99="5",BJ99,0),2)</f>
        <v>0</v>
      </c>
      <c r="AB99" s="46">
        <f>ROUND(IF(AQ99="1",BH99,0),2)</f>
        <v>0</v>
      </c>
      <c r="AC99" s="46">
        <f>ROUND(IF(AQ99="1",BI99,0),2)</f>
        <v>0</v>
      </c>
      <c r="AD99" s="46">
        <f>ROUND(IF(AQ99="7",BH99,0),2)</f>
        <v>0</v>
      </c>
      <c r="AE99" s="46">
        <f>ROUND(IF(AQ99="7",BI99,0),2)</f>
        <v>0</v>
      </c>
      <c r="AF99" s="46">
        <f>ROUND(IF(AQ99="2",BH99,0),2)</f>
        <v>0</v>
      </c>
      <c r="AG99" s="46">
        <f>ROUND(IF(AQ99="2",BI99,0),2)</f>
        <v>0</v>
      </c>
      <c r="AH99" s="46">
        <f>ROUND(IF(AQ99="0",BJ99,0),2)</f>
        <v>0</v>
      </c>
      <c r="AI99" s="33" t="s">
        <v>99</v>
      </c>
      <c r="AJ99" s="46">
        <f>IF(AN99=0,I99,0)</f>
        <v>0</v>
      </c>
      <c r="AK99" s="46">
        <f>IF(AN99=12,I99,0)</f>
        <v>0</v>
      </c>
      <c r="AL99" s="46">
        <f>IF(AN99=21,I99,0)</f>
        <v>0</v>
      </c>
      <c r="AN99" s="46">
        <v>21</v>
      </c>
      <c r="AO99" s="46">
        <f>H99*0</f>
        <v>0</v>
      </c>
      <c r="AP99" s="46">
        <f>H99*(1-0)</f>
        <v>0</v>
      </c>
      <c r="AQ99" s="48" t="s">
        <v>132</v>
      </c>
      <c r="AV99" s="46">
        <f>ROUND(AW99+AX99,2)</f>
        <v>0</v>
      </c>
      <c r="AW99" s="46">
        <f>ROUND(G99*AO99,2)</f>
        <v>0</v>
      </c>
      <c r="AX99" s="46">
        <f>ROUND(G99*AP99,2)</f>
        <v>0</v>
      </c>
      <c r="AY99" s="48" t="s">
        <v>268</v>
      </c>
      <c r="AZ99" s="48" t="s">
        <v>253</v>
      </c>
      <c r="BA99" s="33" t="s">
        <v>110</v>
      </c>
      <c r="BC99" s="46">
        <f>AW99+AX99</f>
        <v>0</v>
      </c>
      <c r="BD99" s="46">
        <f>H99/(100-BE99)*100</f>
        <v>0</v>
      </c>
      <c r="BE99" s="46">
        <v>0</v>
      </c>
      <c r="BF99" s="46">
        <f>99</f>
        <v>99</v>
      </c>
      <c r="BH99" s="46">
        <f>G99*AO99</f>
        <v>0</v>
      </c>
      <c r="BI99" s="46">
        <f>G99*AP99</f>
        <v>0</v>
      </c>
      <c r="BJ99" s="46">
        <f>G99*H99</f>
        <v>0</v>
      </c>
      <c r="BK99" s="48" t="s">
        <v>111</v>
      </c>
      <c r="BL99" s="46"/>
      <c r="BW99" s="46">
        <v>21</v>
      </c>
      <c r="BX99" s="3" t="s">
        <v>271</v>
      </c>
    </row>
    <row r="100" spans="1:76" x14ac:dyDescent="0.25">
      <c r="A100" s="53"/>
      <c r="B100" s="54"/>
      <c r="C100" s="54"/>
      <c r="D100" s="55" t="s">
        <v>272</v>
      </c>
      <c r="E100" s="55"/>
      <c r="F100" s="54"/>
      <c r="G100" s="56">
        <v>10.11</v>
      </c>
      <c r="H100" s="54"/>
      <c r="I100" s="54"/>
      <c r="J100" s="54"/>
      <c r="K100" s="54"/>
      <c r="L100" s="57"/>
    </row>
    <row r="101" spans="1:76" x14ac:dyDescent="0.25">
      <c r="I101" s="58">
        <f>ROUND(I13+I19+I24+I29+I39+I42+I46+I51+I62+I90+I94+I97,0)</f>
        <v>0</v>
      </c>
    </row>
    <row r="102" spans="1:76" x14ac:dyDescent="0.25">
      <c r="A102" s="18" t="s">
        <v>49</v>
      </c>
    </row>
    <row r="103" spans="1:76" ht="12.75" customHeight="1" x14ac:dyDescent="0.25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</row>
  </sheetData>
  <mergeCells count="80">
    <mergeCell ref="A1:L1"/>
    <mergeCell ref="A2:B3"/>
    <mergeCell ref="C2:D3"/>
    <mergeCell ref="E2:E3"/>
    <mergeCell ref="F2:G3"/>
    <mergeCell ref="H2:I3"/>
    <mergeCell ref="J2:L3"/>
    <mergeCell ref="J4:L5"/>
    <mergeCell ref="A6:B7"/>
    <mergeCell ref="C6:D7"/>
    <mergeCell ref="E6:E7"/>
    <mergeCell ref="F6:G7"/>
    <mergeCell ref="H6:I7"/>
    <mergeCell ref="J6:L7"/>
    <mergeCell ref="A4:B5"/>
    <mergeCell ref="C4:D5"/>
    <mergeCell ref="E4:E5"/>
    <mergeCell ref="F4:G5"/>
    <mergeCell ref="H4:I5"/>
    <mergeCell ref="A8:B9"/>
    <mergeCell ref="C8:D9"/>
    <mergeCell ref="E8:E9"/>
    <mergeCell ref="F8:G9"/>
    <mergeCell ref="H8:I9"/>
    <mergeCell ref="J8:L9"/>
    <mergeCell ref="D10:E10"/>
    <mergeCell ref="J10:K10"/>
    <mergeCell ref="D11:E11"/>
    <mergeCell ref="D12:E12"/>
    <mergeCell ref="D13:E13"/>
    <mergeCell ref="D14:E14"/>
    <mergeCell ref="D17:E17"/>
    <mergeCell ref="D19:E19"/>
    <mergeCell ref="D20:E20"/>
    <mergeCell ref="D22:E22"/>
    <mergeCell ref="D24:E24"/>
    <mergeCell ref="D25:E25"/>
    <mergeCell ref="D27:E27"/>
    <mergeCell ref="D29:E29"/>
    <mergeCell ref="D30:E30"/>
    <mergeCell ref="D31:L31"/>
    <mergeCell ref="D34:E34"/>
    <mergeCell ref="D37:E37"/>
    <mergeCell ref="D39:E39"/>
    <mergeCell ref="D40:E40"/>
    <mergeCell ref="D42:E42"/>
    <mergeCell ref="D43:E43"/>
    <mergeCell ref="D46:E46"/>
    <mergeCell ref="D47:E47"/>
    <mergeCell ref="D49:E49"/>
    <mergeCell ref="D51:E51"/>
    <mergeCell ref="D52:E52"/>
    <mergeCell ref="D54:E54"/>
    <mergeCell ref="D56:E56"/>
    <mergeCell ref="D58:E58"/>
    <mergeCell ref="D60:E60"/>
    <mergeCell ref="D62:E62"/>
    <mergeCell ref="D63:E63"/>
    <mergeCell ref="D65:E65"/>
    <mergeCell ref="D67:E67"/>
    <mergeCell ref="D69:E69"/>
    <mergeCell ref="D71:E71"/>
    <mergeCell ref="D73:E73"/>
    <mergeCell ref="D75:E75"/>
    <mergeCell ref="D77:E77"/>
    <mergeCell ref="D79:E79"/>
    <mergeCell ref="D80:L80"/>
    <mergeCell ref="D82:E82"/>
    <mergeCell ref="D84:E84"/>
    <mergeCell ref="D86:E86"/>
    <mergeCell ref="D88:E88"/>
    <mergeCell ref="D90:E90"/>
    <mergeCell ref="D91:E91"/>
    <mergeCell ref="D92:L92"/>
    <mergeCell ref="A103:L103"/>
    <mergeCell ref="D94:E94"/>
    <mergeCell ref="D95:E95"/>
    <mergeCell ref="D97:E97"/>
    <mergeCell ref="D98:E98"/>
    <mergeCell ref="D99:E99"/>
  </mergeCells>
  <pageMargins left="0.39374999999999999" right="0.39374999999999999" top="0.59097222222222201" bottom="0.59097222222222201" header="0.511811023622047" footer="0.511811023622047"/>
  <pageSetup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Vrbka Boris</cp:lastModifiedBy>
  <cp:revision>1</cp:revision>
  <dcterms:created xsi:type="dcterms:W3CDTF">2021-06-10T20:06:38Z</dcterms:created>
  <dcterms:modified xsi:type="dcterms:W3CDTF">2025-08-07T06:21:41Z</dcterms:modified>
  <dc:language>cs-CZ</dc:language>
</cp:coreProperties>
</file>